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8800" windowHeight="15495"/>
  </bookViews>
  <sheets>
    <sheet name="Data" sheetId="1" r:id="rId1"/>
    <sheet name="Tax consequences" sheetId="2" r:id="rId2"/>
    <sheet name="Sheet1" sheetId="3" state="hidden" r:id="rId3"/>
  </sheets>
  <calcPr calcId="145621"/>
</workbook>
</file>

<file path=xl/calcChain.xml><?xml version="1.0" encoding="utf-8"?>
<calcChain xmlns="http://schemas.openxmlformats.org/spreadsheetml/2006/main">
  <c r="D16" i="1" l="1"/>
  <c r="C55" i="1" l="1"/>
  <c r="B60" i="1" l="1"/>
  <c r="A21" i="2"/>
  <c r="B23" i="2"/>
  <c r="A35" i="2"/>
  <c r="A31" i="2"/>
  <c r="A27" i="2"/>
  <c r="B25" i="2"/>
  <c r="B24" i="2"/>
  <c r="B19" i="2"/>
  <c r="B18" i="2"/>
  <c r="B17" i="2"/>
  <c r="A14" i="2"/>
  <c r="A3" i="2"/>
  <c r="B4" i="1"/>
  <c r="B22" i="1"/>
  <c r="B11" i="1"/>
  <c r="B3" i="1"/>
  <c r="B1" i="1"/>
  <c r="B20" i="1"/>
  <c r="B19" i="1"/>
  <c r="B17" i="1"/>
  <c r="B16" i="1"/>
  <c r="B59" i="1"/>
  <c r="B58" i="1"/>
  <c r="B57" i="1"/>
  <c r="B56" i="1"/>
  <c r="B55" i="1"/>
  <c r="B53" i="1"/>
  <c r="B54" i="1"/>
  <c r="H43" i="1" l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D18" i="1" l="1"/>
  <c r="I35" i="1" l="1"/>
  <c r="I37" i="1"/>
  <c r="I36" i="1"/>
  <c r="I34" i="1"/>
  <c r="I33" i="1"/>
  <c r="I32" i="1" l="1"/>
  <c r="F32" i="1" l="1"/>
  <c r="G32" i="1"/>
  <c r="H32" i="1" s="1"/>
  <c r="I43" i="1"/>
  <c r="I42" i="1"/>
  <c r="I41" i="1"/>
  <c r="I40" i="1"/>
  <c r="I39" i="1"/>
  <c r="I38" i="1"/>
  <c r="I31" i="1"/>
  <c r="I30" i="1"/>
  <c r="I29" i="1"/>
  <c r="I28" i="1"/>
  <c r="A8" i="1"/>
  <c r="A7" i="1"/>
  <c r="F31" i="1" l="1"/>
  <c r="G31" i="1"/>
  <c r="H31" i="1" s="1"/>
  <c r="G30" i="1"/>
  <c r="H30" i="1" s="1"/>
  <c r="F30" i="1"/>
  <c r="F29" i="1"/>
  <c r="G29" i="1"/>
  <c r="H29" i="1" s="1"/>
  <c r="F28" i="1"/>
  <c r="G28" i="1"/>
  <c r="H28" i="1" s="1"/>
  <c r="B29" i="2"/>
  <c r="B18" i="1" l="1"/>
  <c r="A12" i="1"/>
  <c r="A11" i="1"/>
  <c r="A9" i="1"/>
  <c r="A10" i="1"/>
  <c r="B37" i="2" l="1"/>
  <c r="C56" i="1" l="1"/>
  <c r="B36" i="2"/>
  <c r="A21" i="1"/>
  <c r="C46" i="1"/>
  <c r="H17" i="2" s="1"/>
  <c r="C45" i="1"/>
  <c r="D20" i="1" l="1"/>
  <c r="A44" i="1" s="1"/>
  <c r="A2" i="2" s="1"/>
  <c r="I10" i="2"/>
  <c r="I12" i="2"/>
  <c r="C7" i="2"/>
  <c r="C6" i="2"/>
  <c r="H18" i="2"/>
  <c r="I18" i="2" s="1"/>
  <c r="A34" i="2"/>
  <c r="H46" i="1" l="1"/>
  <c r="I17" i="2" s="1"/>
  <c r="H24" i="2"/>
  <c r="I24" i="2" s="1"/>
  <c r="I32" i="2" l="1"/>
  <c r="B32" i="2" s="1"/>
  <c r="C8" i="2"/>
  <c r="H19" i="2" l="1"/>
  <c r="I19" i="2" s="1"/>
  <c r="I27" i="2"/>
  <c r="I36" i="2"/>
  <c r="H25" i="2" l="1"/>
  <c r="I25" i="2" s="1"/>
  <c r="I33" i="2"/>
  <c r="B33" i="2" s="1"/>
</calcChain>
</file>

<file path=xl/comments1.xml><?xml version="1.0" encoding="utf-8"?>
<comments xmlns="http://schemas.openxmlformats.org/spreadsheetml/2006/main">
  <authors>
    <author>Stephen Phillips - ext 80090</author>
  </authors>
  <commentList>
    <comment ref="B19" authorId="0">
      <text>
        <r>
          <rPr>
            <sz val="9"/>
            <color indexed="81"/>
            <rFont val="Tahoma"/>
            <family val="2"/>
          </rPr>
          <t>This would have happened automatically if you were an Ineligible Overseas Shareholder, or at your option if you were a Small Shareholder.</t>
        </r>
      </text>
    </comment>
  </commentList>
</comments>
</file>

<file path=xl/comments2.xml><?xml version="1.0" encoding="utf-8"?>
<comments xmlns="http://schemas.openxmlformats.org/spreadsheetml/2006/main">
  <authors>
    <author>Stephen Phillips - ext 80090</author>
  </authors>
  <commentList>
    <comment ref="B18" authorId="0">
      <text>
        <r>
          <rPr>
            <sz val="9"/>
            <color indexed="81"/>
            <rFont val="Tahoma"/>
            <family val="2"/>
          </rPr>
          <t>If you can and do choose to obtain a roll-over, these shares are taken to be pre-CGT, otherwise they are post-CGT.</t>
        </r>
      </text>
    </comment>
    <comment ref="B24" authorId="0">
      <text>
        <r>
          <rPr>
            <sz val="9"/>
            <color indexed="81"/>
            <rFont val="Tahoma"/>
            <family val="2"/>
          </rPr>
          <t>If you can and do choose to obtain a roll-over, these shares are taken to be pre-CGT, otherwise they are post-CGT.</t>
        </r>
      </text>
    </comment>
  </commentList>
</comments>
</file>

<file path=xl/sharedStrings.xml><?xml version="1.0" encoding="utf-8"?>
<sst xmlns="http://schemas.openxmlformats.org/spreadsheetml/2006/main" count="73" uniqueCount="71">
  <si>
    <t>Yes</t>
  </si>
  <si>
    <t>No</t>
  </si>
  <si>
    <t>Parcel 1</t>
  </si>
  <si>
    <t>Parcel 2</t>
  </si>
  <si>
    <t>Parcel 3</t>
  </si>
  <si>
    <t>Parcel 4</t>
  </si>
  <si>
    <t>Parcel 5</t>
  </si>
  <si>
    <t>Parcel 6</t>
  </si>
  <si>
    <t>Parcel 7</t>
  </si>
  <si>
    <t>Parcel 8</t>
  </si>
  <si>
    <t>Parcel 9</t>
  </si>
  <si>
    <t>Parcel 10</t>
  </si>
  <si>
    <t>No. shares</t>
  </si>
  <si>
    <t>Pre-CGT?</t>
  </si>
  <si>
    <t>Cost base/share</t>
  </si>
  <si>
    <t>Total pre-CGT shares</t>
  </si>
  <si>
    <t>Total post-CGT shares</t>
  </si>
  <si>
    <t>Pre-CGT</t>
  </si>
  <si>
    <t>Post-CGT</t>
  </si>
  <si>
    <t>Cost base of parcel</t>
  </si>
  <si>
    <t>Income tax consequences of demerger</t>
  </si>
  <si>
    <t>Quantity</t>
  </si>
  <si>
    <t>Total</t>
  </si>
  <si>
    <t>First element of cost base/reduced cost base per share</t>
  </si>
  <si>
    <t>(2) you held your shares on capital account, and</t>
  </si>
  <si>
    <t>What this spreadsheet is for</t>
  </si>
  <si>
    <t>Instructions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</si>
  <si>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If you are an individual, the TOFA rules will not generally apply to you unless you have made an election for them to apply.</t>
    </r>
  </si>
  <si>
    <t xml:space="preserve">To work out the correct results, you must:  </t>
  </si>
  <si>
    <t>(1) answer the following questions by clicking on 'No' or 'Yes', and</t>
  </si>
  <si>
    <t>Total cost base of post-CGT shares</t>
  </si>
  <si>
    <t>None of this amount in included in your assessable income or exempt income.</t>
  </si>
  <si>
    <t>Date acquired</t>
  </si>
  <si>
    <r>
      <t xml:space="preserve">(3) the taxation of financial arrangements (TOFA) rules in Division 230 of the </t>
    </r>
    <r>
      <rPr>
        <i/>
        <sz val="11"/>
        <color theme="1"/>
        <rFont val="Calibri"/>
        <family val="2"/>
        <scheme val="minor"/>
      </rPr>
      <t xml:space="preserve">Income Tax Assessment Act 1997 </t>
    </r>
    <r>
      <rPr>
        <sz val="11"/>
        <color theme="1"/>
        <rFont val="Calibri"/>
        <family val="2"/>
        <scheme val="minor"/>
      </rPr>
      <t>don't apply to you.</t>
    </r>
  </si>
  <si>
    <t>Status</t>
  </si>
  <si>
    <t>Share category</t>
  </si>
  <si>
    <t>Share parcel</t>
  </si>
  <si>
    <t>Data about the demerger*</t>
  </si>
  <si>
    <t>*This is pre-filled data</t>
  </si>
  <si>
    <t>Input error messages</t>
  </si>
  <si>
    <t>Are you an Australian resident?</t>
  </si>
  <si>
    <t>Answer the following questions</t>
  </si>
  <si>
    <t>The capital component of the distribution, which is a return of capital to you, is:</t>
  </si>
  <si>
    <t>Parcel 11</t>
  </si>
  <si>
    <t>Parcel 12</t>
  </si>
  <si>
    <t>Parcel 13</t>
  </si>
  <si>
    <t>Parcel 14</t>
  </si>
  <si>
    <t>Parcel 15</t>
  </si>
  <si>
    <t>Parcel 16</t>
  </si>
  <si>
    <t>The resulting capital gain you must take into account in working out your net capital gain or net capital loss (if any) is:</t>
  </si>
  <si>
    <t>(1) the number of shares in the parcel in the 'No. shares' column</t>
  </si>
  <si>
    <r>
      <t xml:space="preserve">(2) if the parcel is pre-CGT (that is, you acquired it </t>
    </r>
    <r>
      <rPr>
        <b/>
        <sz val="11"/>
        <color theme="1"/>
        <rFont val="Calibri"/>
        <family val="2"/>
        <scheme val="minor"/>
      </rPr>
      <t>before</t>
    </r>
    <r>
      <rPr>
        <sz val="11"/>
        <color theme="1"/>
        <rFont val="Calibri"/>
        <family val="2"/>
        <scheme val="minor"/>
      </rPr>
      <t xml:space="preserve"> 20 September 1985), click 'Yes' in the 'Pre-CGT?' column, or else click 'No'</t>
    </r>
  </si>
  <si>
    <r>
      <t xml:space="preserve">(3) the cost base per share of the parcel </t>
    </r>
    <r>
      <rPr>
        <b/>
        <sz val="11"/>
        <color theme="1"/>
        <rFont val="Calibri"/>
        <family val="2"/>
        <scheme val="minor"/>
      </rPr>
      <t>just before</t>
    </r>
    <r>
      <rPr>
        <sz val="11"/>
        <color theme="1"/>
        <rFont val="Calibri"/>
        <family val="2"/>
        <scheme val="minor"/>
      </rPr>
      <t xml:space="preserve"> the demerger in the 'Cost base/share' column, if the parcel is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pre-CGT. 
       If the parcel is pre-CGT, you can leave the cell blank, as any value entered will have no consequence.</t>
    </r>
  </si>
  <si>
    <t>Date of demerger</t>
  </si>
  <si>
    <t>Wesfarmers</t>
  </si>
  <si>
    <t>Coles</t>
  </si>
  <si>
    <t>Name of deductible gift recipient of proceeds of sale under Sale Facility</t>
  </si>
  <si>
    <t>ShareGift</t>
  </si>
  <si>
    <t>Short name of head entity of demerger group</t>
  </si>
  <si>
    <t>Short name of demerged entity</t>
  </si>
  <si>
    <t>Full name of head entity of demerger group</t>
  </si>
  <si>
    <t>Wesfarmers Limited</t>
  </si>
  <si>
    <t>Coles Group Limited</t>
  </si>
  <si>
    <t>Record date</t>
  </si>
  <si>
    <t>Record time</t>
  </si>
  <si>
    <t>4:00pm</t>
  </si>
  <si>
    <t>Cap. Gain/parcel*</t>
  </si>
  <si>
    <t>Cap. Gain/share*</t>
  </si>
  <si>
    <t>*Depending on your circumstances, some or all capital gains shown in this table may be disregarded. See the 'Tax Consequences' sheet.</t>
  </si>
  <si>
    <r>
      <t>Finally, check cells D16, D20 and column I (rows 28 to 43) for any error messages (</t>
    </r>
    <r>
      <rPr>
        <b/>
        <sz val="11"/>
        <color rgb="FFFF0000"/>
        <rFont val="Calibri"/>
        <family val="2"/>
        <scheme val="minor"/>
      </rPr>
      <t>in red</t>
    </r>
    <r>
      <rPr>
        <b/>
        <sz val="11"/>
        <color theme="1"/>
        <rFont val="Calibri"/>
        <family val="2"/>
        <scheme val="minor"/>
      </rPr>
      <t>) and make the necessary corrections. 
Then click on the 'Tax consequences' tab at the bottom of the spreadsheet to view the income tax consequences of the demerger.</t>
    </r>
  </si>
  <si>
    <t>Full name of demerged entity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</si>
</sst>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00"/>
    <numFmt numFmtId="165" formatCode="&quot;$&quot;#,##0.00"/>
    <numFmt numFmtId="166" formatCode="&quot;$&quot;#,##0.00;[Red]&quot;$&quot;#,##0.00"/>
    <numFmt numFmtId="167" formatCode="d/mm/yyyy;@"/>
    <numFmt numFmtId="168" formatCode="[$-C09]d\ m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theme="2" tint="-9.9948118533890809E-2"/>
      </right>
      <top style="medium">
        <color theme="0" tint="-0.24994659260841701"/>
      </top>
      <bottom style="double">
        <color theme="0" tint="-0.24994659260841701"/>
      </bottom>
      <diagonal/>
    </border>
    <border>
      <left style="medium">
        <color auto="1"/>
      </left>
      <right style="medium">
        <color theme="2" tint="-9.9948118533890809E-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ck">
        <color theme="8" tint="0.3999755851924192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164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Fill="1"/>
    <xf numFmtId="0" fontId="6" fillId="0" borderId="0" xfId="0" applyFont="1"/>
    <xf numFmtId="0" fontId="0" fillId="2" borderId="11" xfId="0" applyFill="1" applyBorder="1"/>
    <xf numFmtId="0" fontId="0" fillId="2" borderId="2" xfId="0" applyFill="1" applyBorder="1"/>
    <xf numFmtId="0" fontId="0" fillId="2" borderId="5" xfId="0" applyFill="1" applyBorder="1"/>
    <xf numFmtId="0" fontId="0" fillId="0" borderId="0" xfId="0" applyFont="1" applyFill="1" applyBorder="1" applyAlignment="1">
      <alignment horizontal="left" wrapText="1"/>
    </xf>
    <xf numFmtId="165" fontId="0" fillId="7" borderId="11" xfId="0" applyNumberFormat="1" applyFill="1" applyBorder="1"/>
    <xf numFmtId="164" fontId="0" fillId="7" borderId="11" xfId="0" applyNumberFormat="1" applyFill="1" applyBorder="1"/>
    <xf numFmtId="165" fontId="0" fillId="7" borderId="8" xfId="0" applyNumberFormat="1" applyFill="1" applyBorder="1"/>
    <xf numFmtId="3" fontId="0" fillId="7" borderId="2" xfId="0" applyNumberFormat="1" applyFill="1" applyBorder="1"/>
    <xf numFmtId="165" fontId="0" fillId="7" borderId="2" xfId="0" applyNumberFormat="1" applyFill="1" applyBorder="1"/>
    <xf numFmtId="0" fontId="0" fillId="7" borderId="8" xfId="0" applyFill="1" applyBorder="1"/>
    <xf numFmtId="165" fontId="0" fillId="7" borderId="3" xfId="0" applyNumberFormat="1" applyFont="1" applyFill="1" applyBorder="1" applyAlignment="1">
      <alignment wrapText="1"/>
    </xf>
    <xf numFmtId="10" fontId="0" fillId="7" borderId="3" xfId="0" applyNumberFormat="1" applyFill="1" applyBorder="1"/>
    <xf numFmtId="164" fontId="0" fillId="7" borderId="6" xfId="0" applyNumberFormat="1" applyFill="1" applyBorder="1"/>
    <xf numFmtId="3" fontId="0" fillId="7" borderId="8" xfId="0" applyNumberFormat="1" applyFill="1" applyBorder="1"/>
    <xf numFmtId="3" fontId="0" fillId="7" borderId="3" xfId="0" applyNumberFormat="1" applyFill="1" applyBorder="1"/>
    <xf numFmtId="3" fontId="0" fillId="7" borderId="6" xfId="0" applyNumberFormat="1" applyFill="1" applyBorder="1"/>
    <xf numFmtId="3" fontId="0" fillId="7" borderId="11" xfId="0" applyNumberFormat="1" applyFill="1" applyBorder="1"/>
    <xf numFmtId="164" fontId="0" fillId="7" borderId="8" xfId="0" applyNumberFormat="1" applyFill="1" applyBorder="1"/>
    <xf numFmtId="164" fontId="0" fillId="7" borderId="3" xfId="0" applyNumberFormat="1" applyFill="1" applyBorder="1"/>
    <xf numFmtId="3" fontId="0" fillId="7" borderId="5" xfId="0" applyNumberFormat="1" applyFill="1" applyBorder="1"/>
    <xf numFmtId="0" fontId="0" fillId="7" borderId="11" xfId="0" applyFill="1" applyBorder="1"/>
    <xf numFmtId="0" fontId="1" fillId="3" borderId="9" xfId="0" applyFont="1" applyFill="1" applyBorder="1" applyAlignment="1">
      <alignment horizontal="center"/>
    </xf>
    <xf numFmtId="0" fontId="1" fillId="3" borderId="12" xfId="0" applyFont="1" applyFill="1" applyBorder="1"/>
    <xf numFmtId="0" fontId="1" fillId="3" borderId="10" xfId="0" applyFont="1" applyFill="1" applyBorder="1"/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6" fillId="0" borderId="0" xfId="0" applyFont="1" applyProtection="1">
      <protection locked="0"/>
    </xf>
    <xf numFmtId="0" fontId="7" fillId="5" borderId="2" xfId="0" applyFont="1" applyFill="1" applyBorder="1"/>
    <xf numFmtId="0" fontId="0" fillId="7" borderId="19" xfId="0" applyFill="1" applyBorder="1"/>
    <xf numFmtId="0" fontId="0" fillId="7" borderId="20" xfId="0" applyFill="1" applyBorder="1"/>
    <xf numFmtId="0" fontId="10" fillId="4" borderId="23" xfId="0" applyFont="1" applyFill="1" applyBorder="1" applyAlignment="1">
      <alignment horizontal="center"/>
    </xf>
    <xf numFmtId="0" fontId="9" fillId="8" borderId="24" xfId="0" applyFont="1" applyFill="1" applyBorder="1" applyAlignment="1">
      <alignment wrapText="1"/>
    </xf>
    <xf numFmtId="164" fontId="0" fillId="7" borderId="3" xfId="0" applyNumberFormat="1" applyFont="1" applyFill="1" applyBorder="1" applyAlignment="1">
      <alignment wrapText="1"/>
    </xf>
    <xf numFmtId="0" fontId="6" fillId="0" borderId="0" xfId="0" applyFont="1" applyProtection="1"/>
    <xf numFmtId="164" fontId="0" fillId="7" borderId="28" xfId="0" applyNumberFormat="1" applyFill="1" applyBorder="1"/>
    <xf numFmtId="14" fontId="0" fillId="7" borderId="6" xfId="0" applyNumberFormat="1" applyFill="1" applyBorder="1"/>
    <xf numFmtId="0" fontId="0" fillId="7" borderId="29" xfId="0" applyFill="1" applyBorder="1" applyAlignment="1">
      <alignment wrapText="1"/>
    </xf>
    <xf numFmtId="0" fontId="0" fillId="7" borderId="8" xfId="0" applyFill="1" applyBorder="1" applyAlignment="1">
      <alignment wrapText="1"/>
    </xf>
    <xf numFmtId="167" fontId="0" fillId="7" borderId="3" xfId="0" applyNumberFormat="1" applyFill="1" applyBorder="1" applyAlignment="1">
      <alignment wrapText="1"/>
    </xf>
    <xf numFmtId="168" fontId="0" fillId="7" borderId="8" xfId="0" applyNumberFormat="1" applyFill="1" applyBorder="1"/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 shrinkToFit="1"/>
    </xf>
    <xf numFmtId="165" fontId="0" fillId="0" borderId="0" xfId="0" applyNumberFormat="1" applyFill="1" applyProtection="1"/>
    <xf numFmtId="0" fontId="9" fillId="0" borderId="0" xfId="0" applyFont="1" applyFill="1" applyAlignment="1">
      <alignment wrapText="1"/>
    </xf>
    <xf numFmtId="0" fontId="5" fillId="0" borderId="0" xfId="0" applyFont="1" applyFill="1"/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3" fontId="0" fillId="9" borderId="11" xfId="0" applyNumberFormat="1" applyFill="1" applyBorder="1" applyProtection="1">
      <protection locked="0"/>
    </xf>
    <xf numFmtId="164" fontId="0" fillId="9" borderId="11" xfId="0" applyNumberFormat="1" applyFill="1" applyBorder="1" applyProtection="1">
      <protection locked="0"/>
    </xf>
    <xf numFmtId="164" fontId="0" fillId="9" borderId="5" xfId="0" applyNumberFormat="1" applyFill="1" applyBorder="1" applyProtection="1">
      <protection locked="0"/>
    </xf>
    <xf numFmtId="0" fontId="1" fillId="0" borderId="2" xfId="0" applyFont="1" applyFill="1" applyBorder="1" applyAlignment="1">
      <alignment horizontal="right" indent="3"/>
    </xf>
    <xf numFmtId="0" fontId="1" fillId="0" borderId="7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0" fillId="7" borderId="2" xfId="0" applyFill="1" applyBorder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 applyBorder="1"/>
    <xf numFmtId="0" fontId="1" fillId="0" borderId="7" xfId="0" applyFont="1" applyFill="1" applyBorder="1"/>
    <xf numFmtId="0" fontId="1" fillId="0" borderId="1" xfId="0" applyFont="1" applyFill="1" applyBorder="1"/>
    <xf numFmtId="0" fontId="1" fillId="0" borderId="4" xfId="0" applyFont="1" applyFill="1" applyBorder="1"/>
    <xf numFmtId="165" fontId="0" fillId="0" borderId="0" xfId="0" applyNumberFormat="1" applyFill="1"/>
    <xf numFmtId="0" fontId="14" fillId="0" borderId="30" xfId="0" applyFont="1" applyFill="1" applyBorder="1"/>
    <xf numFmtId="0" fontId="0" fillId="0" borderId="30" xfId="0" applyFill="1" applyBorder="1"/>
    <xf numFmtId="0" fontId="0" fillId="0" borderId="30" xfId="0" applyFont="1" applyFill="1" applyBorder="1"/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166" fontId="0" fillId="0" borderId="0" xfId="0" applyNumberFormat="1" applyFill="1"/>
    <xf numFmtId="0" fontId="0" fillId="7" borderId="3" xfId="0" applyFill="1" applyBorder="1" applyAlignment="1">
      <alignment wrapText="1"/>
    </xf>
    <xf numFmtId="0" fontId="0" fillId="0" borderId="0" xfId="0" applyBorder="1"/>
    <xf numFmtId="0" fontId="7" fillId="0" borderId="0" xfId="0" applyFont="1" applyFill="1" applyAlignment="1"/>
    <xf numFmtId="0" fontId="0" fillId="0" borderId="0" xfId="0" applyFill="1" applyAlignment="1"/>
    <xf numFmtId="0" fontId="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 applyBorder="1" applyAlignment="1">
      <alignment wrapText="1"/>
    </xf>
    <xf numFmtId="0" fontId="0" fillId="0" borderId="21" xfId="0" applyFont="1" applyFill="1" applyBorder="1" applyAlignment="1"/>
    <xf numFmtId="0" fontId="0" fillId="0" borderId="21" xfId="0" applyFill="1" applyBorder="1" applyAlignment="1"/>
    <xf numFmtId="0" fontId="0" fillId="0" borderId="22" xfId="0" applyFill="1" applyBorder="1" applyAlignment="1"/>
    <xf numFmtId="0" fontId="0" fillId="0" borderId="25" xfId="0" applyFill="1" applyBorder="1" applyAlignment="1">
      <alignment wrapText="1"/>
    </xf>
    <xf numFmtId="0" fontId="0" fillId="9" borderId="0" xfId="0" applyFill="1" applyAlignment="1">
      <alignment wrapText="1"/>
    </xf>
    <xf numFmtId="0" fontId="8" fillId="6" borderId="13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/>
    <xf numFmtId="0" fontId="0" fillId="0" borderId="0" xfId="0" applyFont="1" applyFill="1" applyAlignment="1"/>
    <xf numFmtId="0" fontId="1" fillId="0" borderId="16" xfId="0" applyFont="1" applyFill="1" applyBorder="1" applyAlignment="1"/>
    <xf numFmtId="0" fontId="0" fillId="0" borderId="17" xfId="0" applyFill="1" applyBorder="1" applyAlignment="1"/>
    <xf numFmtId="0" fontId="1" fillId="0" borderId="0" xfId="0" applyFont="1" applyFill="1" applyAlignment="1">
      <alignment horizontal="right" wrapText="1"/>
    </xf>
    <xf numFmtId="0" fontId="3" fillId="0" borderId="0" xfId="0" applyFont="1" applyFill="1" applyAlignment="1">
      <alignment wrapText="1"/>
    </xf>
    <xf numFmtId="0" fontId="0" fillId="0" borderId="25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0" fillId="0" borderId="2" xfId="0" applyFill="1" applyBorder="1" applyAlignment="1"/>
    <xf numFmtId="0" fontId="1" fillId="0" borderId="0" xfId="0" applyFont="1" applyFill="1" applyAlignment="1"/>
    <xf numFmtId="0" fontId="7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14" fillId="0" borderId="26" xfId="0" applyFont="1" applyFill="1" applyBorder="1" applyAlignment="1">
      <alignment wrapText="1"/>
    </xf>
    <xf numFmtId="0" fontId="11" fillId="0" borderId="0" xfId="0" applyFont="1" applyFill="1" applyAlignment="1"/>
    <xf numFmtId="0" fontId="1" fillId="0" borderId="31" xfId="0" applyFont="1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1" fillId="0" borderId="7" xfId="0" applyFont="1" applyFill="1" applyBorder="1" applyAlignment="1"/>
    <xf numFmtId="0" fontId="0" fillId="0" borderId="11" xfId="0" applyFill="1" applyBorder="1" applyAlignment="1"/>
    <xf numFmtId="0" fontId="1" fillId="0" borderId="4" xfId="0" applyFont="1" applyFill="1" applyBorder="1" applyAlignment="1"/>
    <xf numFmtId="0" fontId="0" fillId="0" borderId="5" xfId="0" applyFill="1" applyBorder="1" applyAlignment="1"/>
  </cellXfs>
  <cellStyles count="1">
    <cellStyle name="Normal" xfId="0" builtinId="0"/>
  </cellStyles>
  <dxfs count="17"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4" tint="0.59996337778862885"/>
        </patternFill>
      </fill>
    </dxf>
    <dxf>
      <font>
        <color rgb="FFFF0000"/>
      </font>
      <fill>
        <patternFill>
          <bgColor theme="4" tint="0.79998168889431442"/>
        </patternFill>
      </fill>
    </dxf>
    <dxf>
      <font>
        <b/>
        <i val="0"/>
        <color theme="4" tint="-0.24994659260841701"/>
      </font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6337778862885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CCFF33"/>
      <color rgb="FFFFFF66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22" fmlaLink="A15" fmlaRange="A13:A14" sel="2" val="0"/>
</file>

<file path=xl/ctrlProps/ctrlProp10.xml><?xml version="1.0" encoding="utf-8"?>
<formControlPr xmlns="http://schemas.microsoft.com/office/spreadsheetml/2009/9/main" objectType="List" dx="22" fmlaLink="A40" fmlaRange="A13:A14" val="0"/>
</file>

<file path=xl/ctrlProps/ctrlProp11.xml><?xml version="1.0" encoding="utf-8"?>
<formControlPr xmlns="http://schemas.microsoft.com/office/spreadsheetml/2009/9/main" objectType="List" dx="22" fmlaLink="A41" fmlaRange="A13:A14" val="0"/>
</file>

<file path=xl/ctrlProps/ctrlProp12.xml><?xml version="1.0" encoding="utf-8"?>
<formControlPr xmlns="http://schemas.microsoft.com/office/spreadsheetml/2009/9/main" objectType="List" dx="22" fmlaLink="A42" fmlaRange="A13:A14" val="0"/>
</file>

<file path=xl/ctrlProps/ctrlProp13.xml><?xml version="1.0" encoding="utf-8"?>
<formControlPr xmlns="http://schemas.microsoft.com/office/spreadsheetml/2009/9/main" objectType="List" dx="22" fmlaLink="A43" fmlaRange="A13:A14" val="0"/>
</file>

<file path=xl/ctrlProps/ctrlProp14.xml><?xml version="1.0" encoding="utf-8"?>
<formControlPr xmlns="http://schemas.microsoft.com/office/spreadsheetml/2009/9/main" objectType="List" dx="22" fmlaLink="A19" fmlaRange="A13:A14" val="0"/>
</file>

<file path=xl/ctrlProps/ctrlProp15.xml><?xml version="1.0" encoding="utf-8"?>
<formControlPr xmlns="http://schemas.microsoft.com/office/spreadsheetml/2009/9/main" objectType="List" dx="22" fmlaLink="A20" fmlaRange="A11:A12" sel="2" val="0"/>
</file>

<file path=xl/ctrlProps/ctrlProp16.xml><?xml version="1.0" encoding="utf-8"?>
<formControlPr xmlns="http://schemas.microsoft.com/office/spreadsheetml/2009/9/main" objectType="List" dx="22" fmlaLink="A32" fmlaRange="A13:A14" val="0"/>
</file>

<file path=xl/ctrlProps/ctrlProp17.xml><?xml version="1.0" encoding="utf-8"?>
<formControlPr xmlns="http://schemas.microsoft.com/office/spreadsheetml/2009/9/main" objectType="List" dx="22" fmlaLink="A33" fmlaRange="A13:A14" val="0"/>
</file>

<file path=xl/ctrlProps/ctrlProp18.xml><?xml version="1.0" encoding="utf-8"?>
<formControlPr xmlns="http://schemas.microsoft.com/office/spreadsheetml/2009/9/main" objectType="List" dx="22" fmlaLink="A34" fmlaRange="A13:A14" val="0"/>
</file>

<file path=xl/ctrlProps/ctrlProp19.xml><?xml version="1.0" encoding="utf-8"?>
<formControlPr xmlns="http://schemas.microsoft.com/office/spreadsheetml/2009/9/main" objectType="List" dx="22" fmlaLink="A35" fmlaRange="A13:A14" val="0"/>
</file>

<file path=xl/ctrlProps/ctrlProp2.xml><?xml version="1.0" encoding="utf-8"?>
<formControlPr xmlns="http://schemas.microsoft.com/office/spreadsheetml/2009/9/main" objectType="List" dx="22" fmlaLink="A16" fmlaRange="A9:A10" val="0"/>
</file>

<file path=xl/ctrlProps/ctrlProp20.xml><?xml version="1.0" encoding="utf-8"?>
<formControlPr xmlns="http://schemas.microsoft.com/office/spreadsheetml/2009/9/main" objectType="List" dx="22" fmlaLink="A36" fmlaRange="A13:A14" val="0"/>
</file>

<file path=xl/ctrlProps/ctrlProp21.xml><?xml version="1.0" encoding="utf-8"?>
<formControlPr xmlns="http://schemas.microsoft.com/office/spreadsheetml/2009/9/main" objectType="List" dx="22" fmlaLink="A37" fmlaRange="A13:A14" val="0"/>
</file>

<file path=xl/ctrlProps/ctrlProp22.xml><?xml version="1.0" encoding="utf-8"?>
<formControlPr xmlns="http://schemas.microsoft.com/office/spreadsheetml/2009/9/main" objectType="List" dx="22" fmlaLink="A17" fmlaRange="A9:A10" val="0"/>
</file>

<file path=xl/ctrlProps/ctrlProp3.xml><?xml version="1.0" encoding="utf-8"?>
<formControlPr xmlns="http://schemas.microsoft.com/office/spreadsheetml/2009/9/main" objectType="List" dx="22" fmlaLink="A18" fmlaRange="A7:A8" sel="2" val="0"/>
</file>

<file path=xl/ctrlProps/ctrlProp4.xml><?xml version="1.0" encoding="utf-8"?>
<formControlPr xmlns="http://schemas.microsoft.com/office/spreadsheetml/2009/9/main" objectType="List" dx="22" fmlaLink="A28" fmlaRange="A13:A14" val="0"/>
</file>

<file path=xl/ctrlProps/ctrlProp5.xml><?xml version="1.0" encoding="utf-8"?>
<formControlPr xmlns="http://schemas.microsoft.com/office/spreadsheetml/2009/9/main" objectType="List" dx="22" fmlaLink="A29" fmlaRange="A13:A14" val="0"/>
</file>

<file path=xl/ctrlProps/ctrlProp6.xml><?xml version="1.0" encoding="utf-8"?>
<formControlPr xmlns="http://schemas.microsoft.com/office/spreadsheetml/2009/9/main" objectType="List" dx="22" fmlaLink="A30" fmlaRange="A13:A14" val="0"/>
</file>

<file path=xl/ctrlProps/ctrlProp7.xml><?xml version="1.0" encoding="utf-8"?>
<formControlPr xmlns="http://schemas.microsoft.com/office/spreadsheetml/2009/9/main" objectType="List" dx="22" fmlaLink="A31" fmlaRange="A13:A14" val="0"/>
</file>

<file path=xl/ctrlProps/ctrlProp8.xml><?xml version="1.0" encoding="utf-8"?>
<formControlPr xmlns="http://schemas.microsoft.com/office/spreadsheetml/2009/9/main" objectType="List" dx="22" fmlaLink="A38" fmlaRange="A13:A14" val="0"/>
</file>

<file path=xl/ctrlProps/ctrlProp9.xml><?xml version="1.0" encoding="utf-8"?>
<formControlPr xmlns="http://schemas.microsoft.com/office/spreadsheetml/2009/9/main" objectType="List" dx="22" fmlaLink="A39" fmlaRange="A13:A14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9525</xdr:rowOff>
        </xdr:from>
        <xdr:to>
          <xdr:col>2</xdr:col>
          <xdr:colOff>581025</xdr:colOff>
          <xdr:row>14</xdr:row>
          <xdr:rowOff>361950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0</xdr:rowOff>
        </xdr:from>
        <xdr:to>
          <xdr:col>2</xdr:col>
          <xdr:colOff>581025</xdr:colOff>
          <xdr:row>15</xdr:row>
          <xdr:rowOff>371475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0</xdr:rowOff>
        </xdr:from>
        <xdr:to>
          <xdr:col>2</xdr:col>
          <xdr:colOff>581025</xdr:colOff>
          <xdr:row>18</xdr:row>
          <xdr:rowOff>0</xdr:rowOff>
        </xdr:to>
        <xdr:sp macro="" textlink="">
          <xdr:nvSpPr>
            <xdr:cNvPr id="1028" name="List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0</xdr:rowOff>
        </xdr:from>
        <xdr:to>
          <xdr:col>3</xdr:col>
          <xdr:colOff>581025</xdr:colOff>
          <xdr:row>27</xdr:row>
          <xdr:rowOff>371475</xdr:rowOff>
        </xdr:to>
        <xdr:sp macro="" textlink="">
          <xdr:nvSpPr>
            <xdr:cNvPr id="1029" name="List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28</xdr:row>
          <xdr:rowOff>0</xdr:rowOff>
        </xdr:from>
        <xdr:to>
          <xdr:col>3</xdr:col>
          <xdr:colOff>581025</xdr:colOff>
          <xdr:row>28</xdr:row>
          <xdr:rowOff>371475</xdr:rowOff>
        </xdr:to>
        <xdr:sp macro="" textlink="">
          <xdr:nvSpPr>
            <xdr:cNvPr id="1030" name="List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0</xdr:rowOff>
        </xdr:from>
        <xdr:to>
          <xdr:col>3</xdr:col>
          <xdr:colOff>581025</xdr:colOff>
          <xdr:row>29</xdr:row>
          <xdr:rowOff>371475</xdr:rowOff>
        </xdr:to>
        <xdr:sp macro="" textlink="">
          <xdr:nvSpPr>
            <xdr:cNvPr id="1031" name="List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30</xdr:row>
          <xdr:rowOff>0</xdr:rowOff>
        </xdr:from>
        <xdr:to>
          <xdr:col>3</xdr:col>
          <xdr:colOff>581025</xdr:colOff>
          <xdr:row>31</xdr:row>
          <xdr:rowOff>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37</xdr:row>
          <xdr:rowOff>0</xdr:rowOff>
        </xdr:from>
        <xdr:to>
          <xdr:col>3</xdr:col>
          <xdr:colOff>581025</xdr:colOff>
          <xdr:row>37</xdr:row>
          <xdr:rowOff>371475</xdr:rowOff>
        </xdr:to>
        <xdr:sp macro="" textlink="">
          <xdr:nvSpPr>
            <xdr:cNvPr id="1033" name="List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38</xdr:row>
          <xdr:rowOff>0</xdr:rowOff>
        </xdr:from>
        <xdr:to>
          <xdr:col>3</xdr:col>
          <xdr:colOff>581025</xdr:colOff>
          <xdr:row>38</xdr:row>
          <xdr:rowOff>371475</xdr:rowOff>
        </xdr:to>
        <xdr:sp macro="" textlink="">
          <xdr:nvSpPr>
            <xdr:cNvPr id="1034" name="List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39</xdr:row>
          <xdr:rowOff>0</xdr:rowOff>
        </xdr:from>
        <xdr:to>
          <xdr:col>3</xdr:col>
          <xdr:colOff>581025</xdr:colOff>
          <xdr:row>39</xdr:row>
          <xdr:rowOff>371475</xdr:rowOff>
        </xdr:to>
        <xdr:sp macro="" textlink="">
          <xdr:nvSpPr>
            <xdr:cNvPr id="1035" name="List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40</xdr:row>
          <xdr:rowOff>0</xdr:rowOff>
        </xdr:from>
        <xdr:to>
          <xdr:col>3</xdr:col>
          <xdr:colOff>581025</xdr:colOff>
          <xdr:row>40</xdr:row>
          <xdr:rowOff>371475</xdr:rowOff>
        </xdr:to>
        <xdr:sp macro="" textlink="">
          <xdr:nvSpPr>
            <xdr:cNvPr id="1036" name="List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41</xdr:row>
          <xdr:rowOff>0</xdr:rowOff>
        </xdr:from>
        <xdr:to>
          <xdr:col>3</xdr:col>
          <xdr:colOff>581025</xdr:colOff>
          <xdr:row>41</xdr:row>
          <xdr:rowOff>371475</xdr:rowOff>
        </xdr:to>
        <xdr:sp macro="" textlink="">
          <xdr:nvSpPr>
            <xdr:cNvPr id="1037" name="List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0</xdr:rowOff>
        </xdr:from>
        <xdr:to>
          <xdr:col>3</xdr:col>
          <xdr:colOff>581025</xdr:colOff>
          <xdr:row>42</xdr:row>
          <xdr:rowOff>371475</xdr:rowOff>
        </xdr:to>
        <xdr:sp macro="" textlink="">
          <xdr:nvSpPr>
            <xdr:cNvPr id="1038" name="List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0</xdr:rowOff>
        </xdr:from>
        <xdr:to>
          <xdr:col>2</xdr:col>
          <xdr:colOff>581025</xdr:colOff>
          <xdr:row>19</xdr:row>
          <xdr:rowOff>0</xdr:rowOff>
        </xdr:to>
        <xdr:sp macro="" textlink="">
          <xdr:nvSpPr>
            <xdr:cNvPr id="1040" name="List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0</xdr:rowOff>
        </xdr:from>
        <xdr:to>
          <xdr:col>2</xdr:col>
          <xdr:colOff>581025</xdr:colOff>
          <xdr:row>19</xdr:row>
          <xdr:rowOff>371475</xdr:rowOff>
        </xdr:to>
        <xdr:sp macro="" textlink="">
          <xdr:nvSpPr>
            <xdr:cNvPr id="1041" name="List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0</xdr:rowOff>
        </xdr:from>
        <xdr:to>
          <xdr:col>3</xdr:col>
          <xdr:colOff>581025</xdr:colOff>
          <xdr:row>31</xdr:row>
          <xdr:rowOff>371475</xdr:rowOff>
        </xdr:to>
        <xdr:sp macro="" textlink="">
          <xdr:nvSpPr>
            <xdr:cNvPr id="1045" name="List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32</xdr:row>
          <xdr:rowOff>0</xdr:rowOff>
        </xdr:from>
        <xdr:to>
          <xdr:col>3</xdr:col>
          <xdr:colOff>581025</xdr:colOff>
          <xdr:row>32</xdr:row>
          <xdr:rowOff>371475</xdr:rowOff>
        </xdr:to>
        <xdr:sp macro="" textlink="">
          <xdr:nvSpPr>
            <xdr:cNvPr id="1046" name="List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0</xdr:rowOff>
        </xdr:from>
        <xdr:to>
          <xdr:col>3</xdr:col>
          <xdr:colOff>581025</xdr:colOff>
          <xdr:row>33</xdr:row>
          <xdr:rowOff>371475</xdr:rowOff>
        </xdr:to>
        <xdr:sp macro="" textlink="">
          <xdr:nvSpPr>
            <xdr:cNvPr id="1047" name="List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34</xdr:row>
          <xdr:rowOff>0</xdr:rowOff>
        </xdr:from>
        <xdr:to>
          <xdr:col>3</xdr:col>
          <xdr:colOff>581025</xdr:colOff>
          <xdr:row>34</xdr:row>
          <xdr:rowOff>371475</xdr:rowOff>
        </xdr:to>
        <xdr:sp macro="" textlink="">
          <xdr:nvSpPr>
            <xdr:cNvPr id="1048" name="List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35</xdr:row>
          <xdr:rowOff>0</xdr:rowOff>
        </xdr:from>
        <xdr:to>
          <xdr:col>3</xdr:col>
          <xdr:colOff>581025</xdr:colOff>
          <xdr:row>35</xdr:row>
          <xdr:rowOff>371475</xdr:rowOff>
        </xdr:to>
        <xdr:sp macro="" textlink="">
          <xdr:nvSpPr>
            <xdr:cNvPr id="1049" name="List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36</xdr:row>
          <xdr:rowOff>0</xdr:rowOff>
        </xdr:from>
        <xdr:to>
          <xdr:col>3</xdr:col>
          <xdr:colOff>581025</xdr:colOff>
          <xdr:row>36</xdr:row>
          <xdr:rowOff>371475</xdr:rowOff>
        </xdr:to>
        <xdr:sp macro="" textlink="">
          <xdr:nvSpPr>
            <xdr:cNvPr id="1050" name="List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51" name="List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K65"/>
  <sheetViews>
    <sheetView tabSelected="1" topLeftCell="B28" workbookViewId="0">
      <selection activeCell="C28" sqref="C28"/>
    </sheetView>
  </sheetViews>
  <sheetFormatPr defaultRowHeight="15" x14ac:dyDescent="0.25"/>
  <cols>
    <col min="1" max="1" width="6.42578125" hidden="1" customWidth="1"/>
    <col min="2" max="2" width="30.28515625" customWidth="1"/>
    <col min="3" max="3" width="12" customWidth="1"/>
    <col min="4" max="4" width="8.85546875" customWidth="1"/>
    <col min="5" max="5" width="15.28515625" customWidth="1"/>
    <col min="6" max="6" width="17.28515625" customWidth="1"/>
    <col min="7" max="8" width="16" customWidth="1"/>
    <col min="9" max="9" width="36.42578125" customWidth="1"/>
    <col min="10" max="10" width="18.28515625" customWidth="1"/>
    <col min="11" max="11" width="15" customWidth="1"/>
  </cols>
  <sheetData>
    <row r="1" spans="1:8" ht="31.5" x14ac:dyDescent="0.5">
      <c r="B1" s="92" t="str">
        <f>CONCATENATE("Calculator for demerger of ",C52," from ",C51)</f>
        <v>Calculator for demerger of Coles from Wesfarmers</v>
      </c>
      <c r="C1" s="92"/>
      <c r="D1" s="92"/>
      <c r="E1" s="92"/>
      <c r="F1" s="92"/>
      <c r="G1" s="92"/>
      <c r="H1" s="92"/>
    </row>
    <row r="2" spans="1:8" ht="27" customHeight="1" x14ac:dyDescent="0.3">
      <c r="B2" s="98" t="s">
        <v>25</v>
      </c>
      <c r="C2" s="82"/>
      <c r="D2" s="3"/>
      <c r="E2" s="3"/>
      <c r="F2" s="3"/>
      <c r="G2" s="3"/>
      <c r="H2" s="3"/>
    </row>
    <row r="3" spans="1:8" ht="29.25" customHeight="1" x14ac:dyDescent="0.25">
      <c r="B3" s="81" t="str">
        <f>CONCATENATE("This spreadsheet works out the income tax consequences for you of the demerger of ",C50," (",C52,") from ",C49," (",C51,") on ",TEXT(C64,"d mmmm yyyy")," if:")</f>
        <v>This spreadsheet works out the income tax consequences for you of the demerger of Coles Group Limited (Coles) from Wesfarmers Limited (Wesfarmers) on 28 November 2018 if:</v>
      </c>
      <c r="C3" s="82"/>
      <c r="D3" s="82"/>
      <c r="E3" s="82"/>
      <c r="F3" s="82"/>
      <c r="G3" s="82"/>
      <c r="H3" s="82"/>
    </row>
    <row r="4" spans="1:8" x14ac:dyDescent="0.25">
      <c r="B4" s="81" t="str">
        <f>CONCATENATE("(1) you were listed on the share register of ",C51," at ",C62," on ",TEXT(C63,"d mmmm yyyy")," (the Record Date)")</f>
        <v>(1) you were listed on the share register of Wesfarmers at 4:00pm on 22 November 2018 (the Record Date)</v>
      </c>
      <c r="C4" s="82"/>
      <c r="D4" s="82"/>
      <c r="E4" s="82"/>
      <c r="F4" s="82"/>
      <c r="G4" s="82"/>
      <c r="H4" s="82"/>
    </row>
    <row r="5" spans="1:8" x14ac:dyDescent="0.25">
      <c r="B5" s="81" t="s">
        <v>24</v>
      </c>
      <c r="C5" s="82"/>
      <c r="D5" s="82"/>
      <c r="E5" s="82"/>
      <c r="F5" s="82"/>
      <c r="G5" s="82"/>
      <c r="H5" s="82"/>
    </row>
    <row r="6" spans="1:8" x14ac:dyDescent="0.25">
      <c r="B6" s="81" t="s">
        <v>33</v>
      </c>
      <c r="C6" s="82"/>
      <c r="D6" s="82"/>
      <c r="E6" s="82"/>
      <c r="F6" s="82"/>
      <c r="G6" s="82"/>
      <c r="H6" s="82"/>
    </row>
    <row r="7" spans="1:8" x14ac:dyDescent="0.25">
      <c r="A7" s="4" t="str">
        <f>IF(OR($A$15=2,$A$16=2),"No","")</f>
        <v>No</v>
      </c>
      <c r="B7" s="81" t="s">
        <v>27</v>
      </c>
      <c r="C7" s="82"/>
      <c r="D7" s="82"/>
      <c r="E7" s="82"/>
      <c r="F7" s="82"/>
      <c r="G7" s="82"/>
      <c r="H7" s="82"/>
    </row>
    <row r="8" spans="1:8" ht="26.25" customHeight="1" x14ac:dyDescent="0.3">
      <c r="A8" s="4" t="str">
        <f>IF(OR($A$15=2,$A$16=2),"Yes","")</f>
        <v>Yes</v>
      </c>
      <c r="B8" s="93" t="s">
        <v>26</v>
      </c>
      <c r="C8" s="94"/>
      <c r="D8" s="94"/>
      <c r="E8" s="94"/>
      <c r="F8" s="94"/>
      <c r="G8" s="94"/>
      <c r="H8" s="94"/>
    </row>
    <row r="9" spans="1:8" x14ac:dyDescent="0.25">
      <c r="A9" s="4" t="str">
        <f>IF($A$15=2,"","No")</f>
        <v/>
      </c>
      <c r="B9" s="81" t="s">
        <v>28</v>
      </c>
      <c r="C9" s="82"/>
      <c r="D9" s="82"/>
      <c r="E9" s="82"/>
      <c r="F9" s="82"/>
      <c r="G9" s="82"/>
      <c r="H9" s="82"/>
    </row>
    <row r="10" spans="1:8" x14ac:dyDescent="0.25">
      <c r="A10" s="4" t="str">
        <f>IF($A$15=2,"","Yes")</f>
        <v/>
      </c>
      <c r="B10" s="81" t="s">
        <v>29</v>
      </c>
      <c r="C10" s="82"/>
      <c r="D10" s="82"/>
      <c r="E10" s="82"/>
      <c r="F10" s="82"/>
      <c r="G10" s="82"/>
      <c r="H10" s="82"/>
    </row>
    <row r="11" spans="1:8" x14ac:dyDescent="0.25">
      <c r="A11" s="4" t="str">
        <f>IF($A$19=2,"No","")</f>
        <v/>
      </c>
      <c r="B11" s="81" t="str">
        <f>CONCATENATE("(2) enter information about your ",C51," shares, as indicated below.")</f>
        <v>(2) enter information about your Wesfarmers shares, as indicated below.</v>
      </c>
      <c r="C11" s="82"/>
      <c r="D11" s="82"/>
      <c r="E11" s="82"/>
      <c r="F11" s="82"/>
      <c r="G11" s="82"/>
      <c r="H11" s="82"/>
    </row>
    <row r="12" spans="1:8" ht="30" customHeight="1" x14ac:dyDescent="0.25">
      <c r="A12" s="4" t="str">
        <f>IF($A$19=2,"Yes","")</f>
        <v/>
      </c>
      <c r="B12" s="83" t="s">
        <v>69</v>
      </c>
      <c r="C12" s="82"/>
      <c r="D12" s="82"/>
      <c r="E12" s="82"/>
      <c r="F12" s="82"/>
      <c r="G12" s="82"/>
      <c r="H12" s="82"/>
    </row>
    <row r="13" spans="1:8" x14ac:dyDescent="0.25">
      <c r="A13" s="4" t="s">
        <v>1</v>
      </c>
      <c r="B13" s="85"/>
      <c r="C13" s="86"/>
      <c r="D13" s="3"/>
      <c r="E13" s="3"/>
      <c r="F13" s="3"/>
      <c r="G13" s="3"/>
      <c r="H13" s="3"/>
    </row>
    <row r="14" spans="1:8" x14ac:dyDescent="0.25">
      <c r="A14" s="4" t="s">
        <v>0</v>
      </c>
      <c r="B14" s="33" t="s">
        <v>41</v>
      </c>
      <c r="C14" s="34"/>
      <c r="D14" s="3"/>
      <c r="E14" s="3"/>
      <c r="F14" s="3"/>
      <c r="G14" s="3"/>
      <c r="H14" s="3"/>
    </row>
    <row r="15" spans="1:8" ht="29.25" customHeight="1" x14ac:dyDescent="0.25">
      <c r="A15" s="32">
        <v>2</v>
      </c>
      <c r="B15" s="46" t="s">
        <v>40</v>
      </c>
      <c r="C15" s="35"/>
      <c r="D15" s="3"/>
      <c r="E15" s="3"/>
      <c r="F15" s="3"/>
      <c r="G15" s="3"/>
      <c r="H15" s="3"/>
    </row>
    <row r="16" spans="1:8" ht="45" customHeight="1" x14ac:dyDescent="0.25">
      <c r="A16" s="32">
        <v>1</v>
      </c>
      <c r="B16" s="47" t="str">
        <f>IF($A$15=2,"",CONCATENATE("Were your ",C52," shares taxable Australian property just after you acquired them?"))</f>
        <v/>
      </c>
      <c r="C16" s="35"/>
      <c r="D16" s="88" t="str">
        <f>IF(AND($A$15=1,$A$16=2,$A$19=2),"If your Coles shares were sold under the Sale Facility, they cannot be taxable Australian property just after you acquired them. You should answer 'No' to this question.","")</f>
        <v/>
      </c>
      <c r="E16" s="82"/>
      <c r="F16" s="82"/>
      <c r="G16" s="82"/>
      <c r="H16" s="3"/>
    </row>
    <row r="17" spans="1:11" ht="29.25" customHeight="1" x14ac:dyDescent="0.25">
      <c r="A17" s="32">
        <v>1</v>
      </c>
      <c r="B17" s="47" t="str">
        <f>IF($A$15=2,"",CONCATENATE("Are your ",C51," shares taxable Australian property?"))</f>
        <v/>
      </c>
      <c r="C17" s="35"/>
      <c r="D17" s="3"/>
      <c r="E17" s="3"/>
      <c r="F17" s="3"/>
      <c r="G17" s="3"/>
      <c r="H17" s="3"/>
    </row>
    <row r="18" spans="1:11" ht="29.25" customHeight="1" x14ac:dyDescent="0.25">
      <c r="A18" s="32">
        <v>2</v>
      </c>
      <c r="B18" s="46" t="str">
        <f>IF(OR($A$15=2,$A$16=2),"Do you choose to obtain a roll-over?","You cannot choose to obtain a roll-over")</f>
        <v>Do you choose to obtain a roll-over?</v>
      </c>
      <c r="C18" s="35"/>
      <c r="D18" s="84" t="str">
        <f>IF(OR($A$15=2,$A$16=2),"You can test the consequences of your choice by choosing 'Yes' or 'No' alternately.","")</f>
        <v>You can test the consequences of your choice by choosing 'Yes' or 'No' alternately.</v>
      </c>
      <c r="E18" s="84"/>
      <c r="F18" s="84"/>
      <c r="G18" s="84"/>
      <c r="H18" s="3"/>
    </row>
    <row r="19" spans="1:11" ht="29.25" customHeight="1" x14ac:dyDescent="0.25">
      <c r="A19" s="32">
        <v>1</v>
      </c>
      <c r="B19" s="46" t="str">
        <f>CONCATENATE("Were your ",C52," shares sold under the Sale Facility?")</f>
        <v>Were your Coles shares sold under the Sale Facility?</v>
      </c>
      <c r="C19" s="35"/>
      <c r="D19" s="97"/>
      <c r="E19" s="97"/>
      <c r="F19" s="48"/>
      <c r="G19" s="49"/>
      <c r="H19" s="50"/>
    </row>
    <row r="20" spans="1:11" ht="60" customHeight="1" x14ac:dyDescent="0.25">
      <c r="A20" s="32">
        <v>2</v>
      </c>
      <c r="B20" s="46" t="str">
        <f>IF($A$19=2,CONCATENATE("Were you a Small Shareholder who donated your sale proceeds from the Sale Facility to ",C61,"?"),"")</f>
        <v/>
      </c>
      <c r="C20" s="25"/>
      <c r="D20" s="99" t="str">
        <f>IF(AND($A$19=2,$A$20=2,$C$45+$C$46&gt;$C$59),CONCATENATE("You are not a Small Shareholder as you held more than ",TEXT($C$59,"#,###")," ",$C$51," shares at the Record Date. You should answer 'No' to this question."),"")</f>
        <v/>
      </c>
      <c r="E20" s="100"/>
      <c r="F20" s="100"/>
      <c r="G20" s="3"/>
      <c r="H20" s="3"/>
    </row>
    <row r="21" spans="1:11" x14ac:dyDescent="0.25">
      <c r="A21" s="39">
        <f>IF(AND(OR($A$15=2,$A$16=2),$A$18=2),2,1)</f>
        <v>2</v>
      </c>
      <c r="B21" s="87"/>
      <c r="C21" s="87"/>
      <c r="D21" s="3"/>
      <c r="E21" s="3"/>
      <c r="F21" s="3"/>
      <c r="G21" s="3"/>
      <c r="H21" s="3"/>
    </row>
    <row r="22" spans="1:11" ht="15" customHeight="1" x14ac:dyDescent="0.25">
      <c r="A22" s="4"/>
      <c r="B22" s="79" t="str">
        <f>CONCATENATE("For each parcel of ",C51," shares you held at the Record Date, enter in the table below:")</f>
        <v>For each parcel of Wesfarmers shares you held at the Record Date, enter in the table below:</v>
      </c>
      <c r="C22" s="80"/>
      <c r="D22" s="80"/>
      <c r="E22" s="80"/>
      <c r="F22" s="80"/>
      <c r="G22" s="3"/>
      <c r="H22" s="3"/>
    </row>
    <row r="23" spans="1:11" ht="15" customHeight="1" x14ac:dyDescent="0.25">
      <c r="A23" s="4"/>
      <c r="B23" s="82" t="s">
        <v>50</v>
      </c>
      <c r="C23" s="82"/>
      <c r="D23" s="82"/>
      <c r="E23" s="82"/>
      <c r="F23" s="82"/>
      <c r="G23" s="82"/>
      <c r="H23" s="82"/>
    </row>
    <row r="24" spans="1:11" ht="15" customHeight="1" x14ac:dyDescent="0.25">
      <c r="A24" s="4"/>
      <c r="B24" s="82" t="s">
        <v>51</v>
      </c>
      <c r="C24" s="82"/>
      <c r="D24" s="82"/>
      <c r="E24" s="82"/>
      <c r="F24" s="82"/>
      <c r="G24" s="82"/>
      <c r="H24" s="82"/>
    </row>
    <row r="25" spans="1:11" ht="30" customHeight="1" x14ac:dyDescent="0.25">
      <c r="A25" s="4"/>
      <c r="B25" s="82" t="s">
        <v>52</v>
      </c>
      <c r="C25" s="82"/>
      <c r="D25" s="82"/>
      <c r="E25" s="82"/>
      <c r="F25" s="82"/>
      <c r="G25" s="82"/>
      <c r="H25" s="82"/>
    </row>
    <row r="26" spans="1:11" ht="15" customHeight="1" thickBot="1" x14ac:dyDescent="0.3">
      <c r="A26" s="4"/>
      <c r="B26" s="3"/>
      <c r="C26" s="3"/>
      <c r="D26" s="3"/>
      <c r="E26" s="3"/>
      <c r="F26" s="3"/>
      <c r="G26" s="3"/>
      <c r="H26" s="3"/>
      <c r="J26" s="3"/>
      <c r="K26" s="3"/>
    </row>
    <row r="27" spans="1:11" ht="30" customHeight="1" thickBot="1" x14ac:dyDescent="0.3">
      <c r="A27" s="4"/>
      <c r="B27" s="26" t="s">
        <v>36</v>
      </c>
      <c r="C27" s="27" t="s">
        <v>12</v>
      </c>
      <c r="D27" s="27" t="s">
        <v>13</v>
      </c>
      <c r="E27" s="27" t="s">
        <v>14</v>
      </c>
      <c r="F27" s="27" t="s">
        <v>19</v>
      </c>
      <c r="G27" s="27" t="s">
        <v>67</v>
      </c>
      <c r="H27" s="28" t="s">
        <v>66</v>
      </c>
      <c r="I27" s="36" t="s">
        <v>39</v>
      </c>
    </row>
    <row r="28" spans="1:11" ht="30" customHeight="1" thickTop="1" x14ac:dyDescent="0.25">
      <c r="A28" s="32">
        <v>1</v>
      </c>
      <c r="B28" s="51" t="s">
        <v>2</v>
      </c>
      <c r="C28" s="54"/>
      <c r="D28" s="5"/>
      <c r="E28" s="55"/>
      <c r="F28" s="9" t="str">
        <f>IF(OR(ISBLANK(C28),ISBLANK(E28)),"",IF(I28="",C28*E28,""))</f>
        <v/>
      </c>
      <c r="G28" s="10" t="str">
        <f>IF(OR(ISBLANK(C28),ISBLANK(E28)),"",IF(I28="",IF(E28&lt;$C$54,$C$54-E28,0),""))</f>
        <v/>
      </c>
      <c r="H28" s="11" t="str">
        <f>IF(OR(ISBLANK(C28),ISBLANK(E28)),"",IF(I28="",C28*G28,""))</f>
        <v/>
      </c>
      <c r="I28" s="37" t="str">
        <f>IF(TYPE(C28)&lt;&gt;1,"No. shares must be a number",IF(C28&lt;&gt;INT(C28),"No. shares must be a whole number",IF(AND(NOT(ISBLANK(C28)),C28&lt;=0),"No. shares must be greater than zero", IF(TYPE(E28)&lt;&gt;1,"Cost base must be a number",IF(AND(NOT(ISBLANK(E28)),E28&lt;0),"Cost base cannot be negative", IF(AND(NOT(ISBLANK(C28)),ISBLANK(E28),A28&lt;&gt;2),"Enter cost base/share",IF(AND(ISBLANK(C28),NOT(ISBLANK(E28))),"Enter no. shares","")))))))</f>
        <v/>
      </c>
    </row>
    <row r="29" spans="1:11" ht="30" customHeight="1" x14ac:dyDescent="0.25">
      <c r="A29" s="32">
        <v>1</v>
      </c>
      <c r="B29" s="52" t="s">
        <v>3</v>
      </c>
      <c r="C29" s="54"/>
      <c r="D29" s="6"/>
      <c r="E29" s="55"/>
      <c r="F29" s="9" t="str">
        <f t="shared" ref="F29:F43" si="0">IF(OR(ISBLANK(C29),ISBLANK(E29)),"",IF(I29="",C29*E29,""))</f>
        <v/>
      </c>
      <c r="G29" s="10" t="str">
        <f t="shared" ref="G29:G43" si="1">IF(OR(ISBLANK(C29),ISBLANK(E29)),"",IF(I29="",IF(E29&lt;$C$54,$C$54-E29,0),""))</f>
        <v/>
      </c>
      <c r="H29" s="11" t="str">
        <f t="shared" ref="H29:H43" si="2">IF(OR(ISBLANK(C29),ISBLANK(E29)),"",IF(I29="",C29*G29,""))</f>
        <v/>
      </c>
      <c r="I29" s="37" t="str">
        <f t="shared" ref="I29:I43" si="3">IF(TYPE(C29)&lt;&gt;1,"No. shares must be a number",IF(C29&lt;&gt;INT(C29),"No. shares must be a whole number",IF(AND(NOT(ISBLANK(C29)),C29&lt;=0),"No. shares must be greater than zero", IF(TYPE(E29)&lt;&gt;1,"Cost base must be a number",IF(AND(NOT(ISBLANK(E29)),E29&lt;0),"Cost base cannot be negative", IF(AND(NOT(ISBLANK(C29)),ISBLANK(E29),A29&lt;&gt;2),"Enter cost base/share",IF(AND(ISBLANK(C29),NOT(ISBLANK(E29))),"Enter no. shares","")))))))</f>
        <v/>
      </c>
    </row>
    <row r="30" spans="1:11" ht="30" customHeight="1" x14ac:dyDescent="0.25">
      <c r="A30" s="32">
        <v>1</v>
      </c>
      <c r="B30" s="52" t="s">
        <v>4</v>
      </c>
      <c r="C30" s="54"/>
      <c r="D30" s="6"/>
      <c r="E30" s="55"/>
      <c r="F30" s="9" t="str">
        <f t="shared" si="0"/>
        <v/>
      </c>
      <c r="G30" s="10" t="str">
        <f t="shared" si="1"/>
        <v/>
      </c>
      <c r="H30" s="11" t="str">
        <f t="shared" si="2"/>
        <v/>
      </c>
      <c r="I30" s="37" t="str">
        <f t="shared" si="3"/>
        <v/>
      </c>
    </row>
    <row r="31" spans="1:11" ht="29.25" customHeight="1" x14ac:dyDescent="0.25">
      <c r="A31" s="32">
        <v>1</v>
      </c>
      <c r="B31" s="52" t="s">
        <v>5</v>
      </c>
      <c r="C31" s="54"/>
      <c r="D31" s="6"/>
      <c r="E31" s="55"/>
      <c r="F31" s="9" t="str">
        <f t="shared" si="0"/>
        <v/>
      </c>
      <c r="G31" s="10" t="str">
        <f t="shared" si="1"/>
        <v/>
      </c>
      <c r="H31" s="11" t="str">
        <f t="shared" si="2"/>
        <v/>
      </c>
      <c r="I31" s="37" t="str">
        <f t="shared" si="3"/>
        <v/>
      </c>
    </row>
    <row r="32" spans="1:11" ht="30" customHeight="1" x14ac:dyDescent="0.25">
      <c r="A32" s="32">
        <v>1</v>
      </c>
      <c r="B32" s="52" t="s">
        <v>6</v>
      </c>
      <c r="C32" s="54"/>
      <c r="D32" s="6"/>
      <c r="E32" s="55"/>
      <c r="F32" s="9" t="str">
        <f t="shared" si="0"/>
        <v/>
      </c>
      <c r="G32" s="10" t="str">
        <f t="shared" si="1"/>
        <v/>
      </c>
      <c r="H32" s="11" t="str">
        <f t="shared" si="2"/>
        <v/>
      </c>
      <c r="I32" s="37" t="str">
        <f t="shared" si="3"/>
        <v/>
      </c>
    </row>
    <row r="33" spans="1:9" ht="30" customHeight="1" x14ac:dyDescent="0.25">
      <c r="A33" s="32">
        <v>1</v>
      </c>
      <c r="B33" s="52" t="s">
        <v>7</v>
      </c>
      <c r="C33" s="54"/>
      <c r="D33" s="6"/>
      <c r="E33" s="55"/>
      <c r="F33" s="9" t="str">
        <f t="shared" si="0"/>
        <v/>
      </c>
      <c r="G33" s="10" t="str">
        <f t="shared" si="1"/>
        <v/>
      </c>
      <c r="H33" s="11" t="str">
        <f t="shared" si="2"/>
        <v/>
      </c>
      <c r="I33" s="37" t="str">
        <f t="shared" si="3"/>
        <v/>
      </c>
    </row>
    <row r="34" spans="1:9" ht="30" customHeight="1" x14ac:dyDescent="0.25">
      <c r="A34" s="32">
        <v>1</v>
      </c>
      <c r="B34" s="52" t="s">
        <v>8</v>
      </c>
      <c r="C34" s="54"/>
      <c r="D34" s="6"/>
      <c r="E34" s="55"/>
      <c r="F34" s="9" t="str">
        <f t="shared" si="0"/>
        <v/>
      </c>
      <c r="G34" s="10" t="str">
        <f t="shared" si="1"/>
        <v/>
      </c>
      <c r="H34" s="11" t="str">
        <f t="shared" si="2"/>
        <v/>
      </c>
      <c r="I34" s="37" t="str">
        <f t="shared" si="3"/>
        <v/>
      </c>
    </row>
    <row r="35" spans="1:9" ht="30" customHeight="1" x14ac:dyDescent="0.25">
      <c r="A35" s="32">
        <v>1</v>
      </c>
      <c r="B35" s="52" t="s">
        <v>9</v>
      </c>
      <c r="C35" s="54"/>
      <c r="D35" s="6"/>
      <c r="E35" s="55"/>
      <c r="F35" s="9" t="str">
        <f t="shared" si="0"/>
        <v/>
      </c>
      <c r="G35" s="10" t="str">
        <f t="shared" si="1"/>
        <v/>
      </c>
      <c r="H35" s="11" t="str">
        <f t="shared" si="2"/>
        <v/>
      </c>
      <c r="I35" s="37" t="str">
        <f t="shared" si="3"/>
        <v/>
      </c>
    </row>
    <row r="36" spans="1:9" ht="30" customHeight="1" x14ac:dyDescent="0.25">
      <c r="A36" s="32">
        <v>1</v>
      </c>
      <c r="B36" s="52" t="s">
        <v>10</v>
      </c>
      <c r="C36" s="54"/>
      <c r="D36" s="6"/>
      <c r="E36" s="55"/>
      <c r="F36" s="9" t="str">
        <f t="shared" si="0"/>
        <v/>
      </c>
      <c r="G36" s="10" t="str">
        <f t="shared" si="1"/>
        <v/>
      </c>
      <c r="H36" s="11" t="str">
        <f t="shared" si="2"/>
        <v/>
      </c>
      <c r="I36" s="37" t="str">
        <f t="shared" si="3"/>
        <v/>
      </c>
    </row>
    <row r="37" spans="1:9" ht="30" customHeight="1" x14ac:dyDescent="0.25">
      <c r="A37" s="32">
        <v>1</v>
      </c>
      <c r="B37" s="52" t="s">
        <v>11</v>
      </c>
      <c r="C37" s="54"/>
      <c r="D37" s="6"/>
      <c r="E37" s="55"/>
      <c r="F37" s="9" t="str">
        <f t="shared" si="0"/>
        <v/>
      </c>
      <c r="G37" s="10" t="str">
        <f t="shared" si="1"/>
        <v/>
      </c>
      <c r="H37" s="11" t="str">
        <f t="shared" si="2"/>
        <v/>
      </c>
      <c r="I37" s="37" t="str">
        <f t="shared" si="3"/>
        <v/>
      </c>
    </row>
    <row r="38" spans="1:9" ht="30" customHeight="1" x14ac:dyDescent="0.25">
      <c r="A38" s="32">
        <v>1</v>
      </c>
      <c r="B38" s="51" t="s">
        <v>43</v>
      </c>
      <c r="C38" s="54"/>
      <c r="D38" s="6"/>
      <c r="E38" s="55"/>
      <c r="F38" s="9" t="str">
        <f t="shared" si="0"/>
        <v/>
      </c>
      <c r="G38" s="10" t="str">
        <f t="shared" si="1"/>
        <v/>
      </c>
      <c r="H38" s="11" t="str">
        <f t="shared" si="2"/>
        <v/>
      </c>
      <c r="I38" s="37" t="str">
        <f>IF(TYPE(C38)&lt;&gt;1,"No. shares must be a number",IF(C38&lt;&gt;INT(C38),"No. shares must be a whole number",IF(AND(NOT(ISBLANK(C38)),C38&lt;=0),"No. shares must be greater than zero", IF(TYPE(E38)&lt;&gt;1,"Cost base must be a number",IF(AND(NOT(ISBLANK(E38)),E38&lt;0),"Cost base cannot be negative", IF(AND(NOT(ISBLANK(C38)),ISBLANK(E38),A38&lt;&gt;2),"Enter cost base/share",IF(AND(ISBLANK(C38),NOT(ISBLANK(E38))),"Enter no. shares","")))))))</f>
        <v/>
      </c>
    </row>
    <row r="39" spans="1:9" ht="30" customHeight="1" x14ac:dyDescent="0.25">
      <c r="A39" s="32">
        <v>1</v>
      </c>
      <c r="B39" s="52" t="s">
        <v>44</v>
      </c>
      <c r="C39" s="54"/>
      <c r="D39" s="6"/>
      <c r="E39" s="55"/>
      <c r="F39" s="9" t="str">
        <f t="shared" si="0"/>
        <v/>
      </c>
      <c r="G39" s="10" t="str">
        <f t="shared" si="1"/>
        <v/>
      </c>
      <c r="H39" s="11" t="str">
        <f t="shared" si="2"/>
        <v/>
      </c>
      <c r="I39" s="37" t="str">
        <f>IF(TYPE(C39)&lt;&gt;1,"No. shares must be a number",IF(C39&lt;&gt;INT(C39),"No. shares must be a whole number",IF(AND(NOT(ISBLANK(C39)),C39&lt;=0),"No. shares must be greater than zero", IF(TYPE(E39)&lt;&gt;1,"Cost base must be a number",IF(AND(NOT(ISBLANK(E39)),E39&lt;0),"Cost base cannot be negative", IF(AND(NOT(ISBLANK(C39)),ISBLANK(E39),A39&lt;&gt;2),"Enter cost base/share",IF(AND(ISBLANK(C39),NOT(ISBLANK(E39))),"Enter no. shares","")))))))</f>
        <v/>
      </c>
    </row>
    <row r="40" spans="1:9" ht="30" customHeight="1" x14ac:dyDescent="0.25">
      <c r="A40" s="32">
        <v>1</v>
      </c>
      <c r="B40" s="52" t="s">
        <v>45</v>
      </c>
      <c r="C40" s="54"/>
      <c r="D40" s="6"/>
      <c r="E40" s="55"/>
      <c r="F40" s="9" t="str">
        <f t="shared" si="0"/>
        <v/>
      </c>
      <c r="G40" s="10" t="str">
        <f t="shared" si="1"/>
        <v/>
      </c>
      <c r="H40" s="11" t="str">
        <f t="shared" si="2"/>
        <v/>
      </c>
      <c r="I40" s="37" t="str">
        <f t="shared" si="3"/>
        <v/>
      </c>
    </row>
    <row r="41" spans="1:9" ht="30" customHeight="1" x14ac:dyDescent="0.25">
      <c r="A41" s="32">
        <v>1</v>
      </c>
      <c r="B41" s="52" t="s">
        <v>46</v>
      </c>
      <c r="C41" s="54"/>
      <c r="D41" s="6"/>
      <c r="E41" s="55"/>
      <c r="F41" s="9" t="str">
        <f t="shared" si="0"/>
        <v/>
      </c>
      <c r="G41" s="10" t="str">
        <f t="shared" si="1"/>
        <v/>
      </c>
      <c r="H41" s="11" t="str">
        <f t="shared" si="2"/>
        <v/>
      </c>
      <c r="I41" s="37" t="str">
        <f t="shared" si="3"/>
        <v/>
      </c>
    </row>
    <row r="42" spans="1:9" s="2" customFormat="1" ht="30" customHeight="1" x14ac:dyDescent="0.25">
      <c r="A42" s="32">
        <v>1</v>
      </c>
      <c r="B42" s="52" t="s">
        <v>47</v>
      </c>
      <c r="C42" s="54"/>
      <c r="D42" s="6"/>
      <c r="E42" s="55"/>
      <c r="F42" s="9" t="str">
        <f t="shared" si="0"/>
        <v/>
      </c>
      <c r="G42" s="10" t="str">
        <f t="shared" si="1"/>
        <v/>
      </c>
      <c r="H42" s="11" t="str">
        <f t="shared" si="2"/>
        <v/>
      </c>
      <c r="I42" s="37" t="str">
        <f t="shared" si="3"/>
        <v/>
      </c>
    </row>
    <row r="43" spans="1:9" ht="30" customHeight="1" thickBot="1" x14ac:dyDescent="0.3">
      <c r="A43" s="32">
        <v>1</v>
      </c>
      <c r="B43" s="53" t="s">
        <v>48</v>
      </c>
      <c r="C43" s="54"/>
      <c r="D43" s="7"/>
      <c r="E43" s="56"/>
      <c r="F43" s="9" t="str">
        <f t="shared" si="0"/>
        <v/>
      </c>
      <c r="G43" s="10" t="str">
        <f t="shared" si="1"/>
        <v/>
      </c>
      <c r="H43" s="11" t="str">
        <f t="shared" si="2"/>
        <v/>
      </c>
      <c r="I43" s="37" t="str">
        <f t="shared" si="3"/>
        <v/>
      </c>
    </row>
    <row r="44" spans="1:9" ht="30" customHeight="1" x14ac:dyDescent="0.25">
      <c r="A44" t="str">
        <f>IF(AND(D16="",D20="",I28="",I29="",I30="",I31="",I32="",I33="",I34="",I35="",I36="",I37="",I38="",I39="",I40="",I41="",I42="",I43=""),"no errors","errors")</f>
        <v>no errors</v>
      </c>
      <c r="G44" s="89" t="s">
        <v>68</v>
      </c>
      <c r="H44" s="89"/>
      <c r="I44" s="89"/>
    </row>
    <row r="45" spans="1:9" ht="15" customHeight="1" x14ac:dyDescent="0.25">
      <c r="B45" s="57" t="s">
        <v>15</v>
      </c>
      <c r="C45" s="12">
        <f>SUMIF(A28:A43,2,C28:C43)</f>
        <v>0</v>
      </c>
      <c r="F45" s="1"/>
    </row>
    <row r="46" spans="1:9" ht="15" customHeight="1" x14ac:dyDescent="0.25">
      <c r="B46" s="57" t="s">
        <v>16</v>
      </c>
      <c r="C46" s="12">
        <f>SUMIF(A28:A43,1,C28:C43)</f>
        <v>0</v>
      </c>
      <c r="F46" s="95" t="s">
        <v>30</v>
      </c>
      <c r="G46" s="96"/>
      <c r="H46" s="13">
        <f>SUMIF(A28:A43,1,F28:F43)</f>
        <v>0</v>
      </c>
    </row>
    <row r="47" spans="1:9" ht="15.75" thickBot="1" x14ac:dyDescent="0.3"/>
    <row r="48" spans="1:9" ht="19.5" thickBot="1" x14ac:dyDescent="0.35">
      <c r="A48" s="2"/>
      <c r="B48" s="90" t="s">
        <v>37</v>
      </c>
      <c r="C48" s="91"/>
      <c r="I48" s="2"/>
    </row>
    <row r="49" spans="1:9" ht="30.75" thickTop="1" x14ac:dyDescent="0.25">
      <c r="A49" s="2"/>
      <c r="B49" s="58" t="s">
        <v>60</v>
      </c>
      <c r="C49" s="42" t="s">
        <v>61</v>
      </c>
      <c r="I49" s="2"/>
    </row>
    <row r="50" spans="1:9" ht="30" x14ac:dyDescent="0.25">
      <c r="A50" s="2"/>
      <c r="B50" s="58" t="s">
        <v>70</v>
      </c>
      <c r="C50" s="43" t="s">
        <v>62</v>
      </c>
      <c r="I50" s="2"/>
    </row>
    <row r="51" spans="1:9" ht="30" x14ac:dyDescent="0.25">
      <c r="A51" s="2"/>
      <c r="B51" s="58" t="s">
        <v>58</v>
      </c>
      <c r="C51" s="14" t="s">
        <v>54</v>
      </c>
      <c r="I51" s="2"/>
    </row>
    <row r="52" spans="1:9" x14ac:dyDescent="0.25">
      <c r="A52" s="2"/>
      <c r="B52" s="58" t="s">
        <v>59</v>
      </c>
      <c r="C52" s="14" t="s">
        <v>55</v>
      </c>
      <c r="I52" s="2"/>
    </row>
    <row r="53" spans="1:9" ht="30" x14ac:dyDescent="0.25">
      <c r="B53" s="58" t="str">
        <f>CONCATENATE(C52," shares you received per ",C51," share you held")</f>
        <v>Coles shares you received per Wesfarmers share you held</v>
      </c>
      <c r="C53" s="14">
        <v>1</v>
      </c>
    </row>
    <row r="54" spans="1:9" ht="30" x14ac:dyDescent="0.25">
      <c r="B54" s="59" t="str">
        <f>CONCATENATE("Capital return per ",C51," share")</f>
        <v>Capital return per Wesfarmers share</v>
      </c>
      <c r="C54" s="15">
        <v>5.68</v>
      </c>
      <c r="D54" s="2"/>
      <c r="E54" s="2"/>
      <c r="F54" s="2"/>
      <c r="G54" s="2"/>
      <c r="H54" s="2"/>
    </row>
    <row r="55" spans="1:9" ht="45" customHeight="1" x14ac:dyDescent="0.25">
      <c r="B55" s="59" t="str">
        <f>CONCATENATE("Proportion of total pre-demerger cost base of ",C51," shares allocated to ",C51," shares")</f>
        <v>Proportion of total pre-demerger cost base of Wesfarmers shares allocated to Wesfarmers shares</v>
      </c>
      <c r="C55" s="16">
        <f>ROUND(C58/(C58+C57*C53),4)</f>
        <v>0.71089999999999998</v>
      </c>
    </row>
    <row r="56" spans="1:9" ht="45" customHeight="1" x14ac:dyDescent="0.25">
      <c r="B56" s="59" t="str">
        <f>CONCATENATE("Proportion of total pre-demerger cost base of ",C51," shares allocated to ",C52," shares")</f>
        <v>Proportion of total pre-demerger cost base of Wesfarmers shares allocated to Coles shares</v>
      </c>
      <c r="C56" s="16">
        <f>1-C55</f>
        <v>0.28910000000000002</v>
      </c>
    </row>
    <row r="57" spans="1:9" ht="30" x14ac:dyDescent="0.25">
      <c r="B57" s="59" t="str">
        <f>CONCATENATE("Market value of ",C52," share at time of demerger")</f>
        <v>Market value of Coles share at time of demerger</v>
      </c>
      <c r="C57" s="38">
        <v>12.8459</v>
      </c>
    </row>
    <row r="58" spans="1:9" ht="30" x14ac:dyDescent="0.25">
      <c r="B58" s="59" t="str">
        <f>CONCATENATE("Market value of ",C51," share at time of demerger")</f>
        <v>Market value of Wesfarmers share at time of demerger</v>
      </c>
      <c r="C58" s="38">
        <v>31.584800000000001</v>
      </c>
    </row>
    <row r="59" spans="1:9" ht="30" x14ac:dyDescent="0.25">
      <c r="B59" s="59" t="str">
        <f>CONCATENATE("Small Shareholder threshold (no. ",C51," shares held)")</f>
        <v>Small Shareholder threshold (no. Wesfarmers shares held)</v>
      </c>
      <c r="C59" s="19">
        <v>160</v>
      </c>
    </row>
    <row r="60" spans="1:9" ht="45" customHeight="1" x14ac:dyDescent="0.25">
      <c r="B60" s="59" t="str">
        <f>CONCATENATE("Average proceeds per share from sale of ",$C$52," shares under Sale Facility")</f>
        <v>Average proceeds per share from sale of Coles shares under Sale Facility</v>
      </c>
      <c r="C60" s="23">
        <v>11.992100000000001</v>
      </c>
    </row>
    <row r="61" spans="1:9" ht="45" customHeight="1" x14ac:dyDescent="0.25">
      <c r="B61" s="60" t="s">
        <v>56</v>
      </c>
      <c r="C61" s="40" t="s">
        <v>57</v>
      </c>
    </row>
    <row r="62" spans="1:9" ht="15" customHeight="1" x14ac:dyDescent="0.25">
      <c r="B62" s="59" t="s">
        <v>64</v>
      </c>
      <c r="C62" s="23" t="s">
        <v>65</v>
      </c>
    </row>
    <row r="63" spans="1:9" ht="15" customHeight="1" x14ac:dyDescent="0.25">
      <c r="B63" s="59" t="s">
        <v>63</v>
      </c>
      <c r="C63" s="44">
        <v>43426</v>
      </c>
    </row>
    <row r="64" spans="1:9" ht="15" customHeight="1" thickBot="1" x14ac:dyDescent="0.3">
      <c r="B64" s="61" t="s">
        <v>53</v>
      </c>
      <c r="C64" s="41">
        <v>43432</v>
      </c>
    </row>
    <row r="65" spans="2:3" x14ac:dyDescent="0.25">
      <c r="B65" s="8" t="s">
        <v>38</v>
      </c>
      <c r="C65" s="1"/>
    </row>
  </sheetData>
  <sheetProtection password="F1BD" sheet="1" objects="1" scenarios="1" selectLockedCells="1"/>
  <mergeCells count="25">
    <mergeCell ref="G44:I44"/>
    <mergeCell ref="B48:C48"/>
    <mergeCell ref="B25:H25"/>
    <mergeCell ref="B1:H1"/>
    <mergeCell ref="B8:H8"/>
    <mergeCell ref="F46:G46"/>
    <mergeCell ref="D19:E19"/>
    <mergeCell ref="B3:H3"/>
    <mergeCell ref="B4:H4"/>
    <mergeCell ref="B5:H5"/>
    <mergeCell ref="B6:H6"/>
    <mergeCell ref="B7:H7"/>
    <mergeCell ref="B2:C2"/>
    <mergeCell ref="B9:H9"/>
    <mergeCell ref="B10:H10"/>
    <mergeCell ref="D20:F20"/>
    <mergeCell ref="B22:F22"/>
    <mergeCell ref="B11:H11"/>
    <mergeCell ref="B12:H12"/>
    <mergeCell ref="B23:H23"/>
    <mergeCell ref="B24:H24"/>
    <mergeCell ref="D18:G18"/>
    <mergeCell ref="B13:C13"/>
    <mergeCell ref="B21:C21"/>
    <mergeCell ref="D16:G16"/>
  </mergeCells>
  <conditionalFormatting sqref="D18:G18">
    <cfRule type="expression" dxfId="16" priority="17">
      <formula>OR($A$15=2,$A$16=2)</formula>
    </cfRule>
  </conditionalFormatting>
  <conditionalFormatting sqref="E28:E43">
    <cfRule type="expression" dxfId="15" priority="14">
      <formula>OR(TYPE(E28)&lt;&gt;1,E28&lt;0,AND(ISBLANK(E28),NOT(ISBLANK(C28)),A28&lt;&gt;2))</formula>
    </cfRule>
  </conditionalFormatting>
  <conditionalFormatting sqref="C28:C43">
    <cfRule type="expression" dxfId="14" priority="3">
      <formula>TYPE(C28)&lt;&gt;1</formula>
    </cfRule>
    <cfRule type="expression" dxfId="13" priority="8">
      <formula>OR(C28&lt;&gt;INT(C28),AND(NOT(ISBLANK(C28)),C28&lt;=0),AND(ISBLANK(C28),NOT(ISBLANK(E28))))</formula>
    </cfRule>
  </conditionalFormatting>
  <conditionalFormatting sqref="B18">
    <cfRule type="expression" dxfId="12" priority="6">
      <formula>NOT(OR($A$15=2,$A$16=2))</formula>
    </cfRule>
  </conditionalFormatting>
  <conditionalFormatting sqref="D20:F20">
    <cfRule type="expression" dxfId="11" priority="4">
      <formula>AND($A$19=2,$A$20=2,$C$45+$C$46&gt;$C$59)</formula>
    </cfRule>
  </conditionalFormatting>
  <conditionalFormatting sqref="D16:G16">
    <cfRule type="expression" dxfId="10" priority="1">
      <formula>AND($A$15=1,$A$16=2,$A$19=2)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2</xdr:col>
                    <xdr:colOff>9525</xdr:colOff>
                    <xdr:row>14</xdr:row>
                    <xdr:rowOff>9525</xdr:rowOff>
                  </from>
                  <to>
                    <xdr:col>2</xdr:col>
                    <xdr:colOff>581025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List Box 3">
              <controlPr defaultSize="0" autoLine="0" autoPict="0">
                <anchor moveWithCells="1">
                  <from>
                    <xdr:col>2</xdr:col>
                    <xdr:colOff>9525</xdr:colOff>
                    <xdr:row>15</xdr:row>
                    <xdr:rowOff>0</xdr:rowOff>
                  </from>
                  <to>
                    <xdr:col>2</xdr:col>
                    <xdr:colOff>581025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List Box 4">
              <controlPr defaultSize="0" autoLine="0" autoPict="0">
                <anchor moveWithCells="1">
                  <from>
                    <xdr:col>2</xdr:col>
                    <xdr:colOff>9525</xdr:colOff>
                    <xdr:row>17</xdr:row>
                    <xdr:rowOff>0</xdr:rowOff>
                  </from>
                  <to>
                    <xdr:col>2</xdr:col>
                    <xdr:colOff>581025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List Box 5">
              <controlPr defaultSize="0" autoLine="0" autoPict="0">
                <anchor moveWithCells="1">
                  <from>
                    <xdr:col>3</xdr:col>
                    <xdr:colOff>9525</xdr:colOff>
                    <xdr:row>27</xdr:row>
                    <xdr:rowOff>0</xdr:rowOff>
                  </from>
                  <to>
                    <xdr:col>3</xdr:col>
                    <xdr:colOff>581025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List Box 6">
              <controlPr defaultSize="0" autoLine="0" autoPict="0">
                <anchor moveWithCells="1">
                  <from>
                    <xdr:col>3</xdr:col>
                    <xdr:colOff>9525</xdr:colOff>
                    <xdr:row>28</xdr:row>
                    <xdr:rowOff>0</xdr:rowOff>
                  </from>
                  <to>
                    <xdr:col>3</xdr:col>
                    <xdr:colOff>581025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List Box 7">
              <controlPr defaultSize="0" autoLine="0" autoPict="0">
                <anchor moveWithCells="1">
                  <from>
                    <xdr:col>3</xdr:col>
                    <xdr:colOff>9525</xdr:colOff>
                    <xdr:row>29</xdr:row>
                    <xdr:rowOff>0</xdr:rowOff>
                  </from>
                  <to>
                    <xdr:col>3</xdr:col>
                    <xdr:colOff>581025</xdr:colOff>
                    <xdr:row>29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List Box 8">
              <controlPr defaultSize="0" autoLine="0" autoPict="0">
                <anchor moveWithCells="1">
                  <from>
                    <xdr:col>3</xdr:col>
                    <xdr:colOff>9525</xdr:colOff>
                    <xdr:row>30</xdr:row>
                    <xdr:rowOff>0</xdr:rowOff>
                  </from>
                  <to>
                    <xdr:col>3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List Box 9">
              <controlPr defaultSize="0" autoLine="0" autoPict="0">
                <anchor moveWithCells="1">
                  <from>
                    <xdr:col>3</xdr:col>
                    <xdr:colOff>9525</xdr:colOff>
                    <xdr:row>37</xdr:row>
                    <xdr:rowOff>0</xdr:rowOff>
                  </from>
                  <to>
                    <xdr:col>3</xdr:col>
                    <xdr:colOff>581025</xdr:colOff>
                    <xdr:row>37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List Box 10">
              <controlPr defaultSize="0" autoLine="0" autoPict="0">
                <anchor moveWithCells="1">
                  <from>
                    <xdr:col>3</xdr:col>
                    <xdr:colOff>9525</xdr:colOff>
                    <xdr:row>38</xdr:row>
                    <xdr:rowOff>0</xdr:rowOff>
                  </from>
                  <to>
                    <xdr:col>3</xdr:col>
                    <xdr:colOff>581025</xdr:colOff>
                    <xdr:row>38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List Box 11">
              <controlPr defaultSize="0" autoLine="0" autoPict="0">
                <anchor moveWithCells="1">
                  <from>
                    <xdr:col>3</xdr:col>
                    <xdr:colOff>9525</xdr:colOff>
                    <xdr:row>39</xdr:row>
                    <xdr:rowOff>0</xdr:rowOff>
                  </from>
                  <to>
                    <xdr:col>3</xdr:col>
                    <xdr:colOff>581025</xdr:colOff>
                    <xdr:row>39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List Box 12">
              <controlPr defaultSize="0" autoLine="0" autoPict="0">
                <anchor moveWithCells="1">
                  <from>
                    <xdr:col>3</xdr:col>
                    <xdr:colOff>9525</xdr:colOff>
                    <xdr:row>40</xdr:row>
                    <xdr:rowOff>0</xdr:rowOff>
                  </from>
                  <to>
                    <xdr:col>3</xdr:col>
                    <xdr:colOff>581025</xdr:colOff>
                    <xdr:row>40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List Box 13">
              <controlPr defaultSize="0" autoLine="0" autoPict="0">
                <anchor moveWithCells="1">
                  <from>
                    <xdr:col>3</xdr:col>
                    <xdr:colOff>9525</xdr:colOff>
                    <xdr:row>41</xdr:row>
                    <xdr:rowOff>0</xdr:rowOff>
                  </from>
                  <to>
                    <xdr:col>3</xdr:col>
                    <xdr:colOff>581025</xdr:colOff>
                    <xdr:row>41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List Box 14">
              <controlPr defaultSize="0" autoLine="0" autoPict="0">
                <anchor moveWithCells="1">
                  <from>
                    <xdr:col>3</xdr:col>
                    <xdr:colOff>9525</xdr:colOff>
                    <xdr:row>42</xdr:row>
                    <xdr:rowOff>0</xdr:rowOff>
                  </from>
                  <to>
                    <xdr:col>3</xdr:col>
                    <xdr:colOff>581025</xdr:colOff>
                    <xdr:row>42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List Box 16">
              <controlPr defaultSize="0" autoLine="0" autoPict="0">
                <anchor moveWithCells="1">
                  <from>
                    <xdr:col>2</xdr:col>
                    <xdr:colOff>9525</xdr:colOff>
                    <xdr:row>18</xdr:row>
                    <xdr:rowOff>0</xdr:rowOff>
                  </from>
                  <to>
                    <xdr:col>2</xdr:col>
                    <xdr:colOff>581025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List Box 17">
              <controlPr defaultSize="0" autoLine="0" autoPict="0">
                <anchor moveWithCells="1">
                  <from>
                    <xdr:col>2</xdr:col>
                    <xdr:colOff>9525</xdr:colOff>
                    <xdr:row>19</xdr:row>
                    <xdr:rowOff>0</xdr:rowOff>
                  </from>
                  <to>
                    <xdr:col>2</xdr:col>
                    <xdr:colOff>581025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List Box 21">
              <controlPr defaultSize="0" autoLine="0" autoPict="0">
                <anchor moveWithCells="1">
                  <from>
                    <xdr:col>3</xdr:col>
                    <xdr:colOff>9525</xdr:colOff>
                    <xdr:row>31</xdr:row>
                    <xdr:rowOff>0</xdr:rowOff>
                  </from>
                  <to>
                    <xdr:col>3</xdr:col>
                    <xdr:colOff>581025</xdr:colOff>
                    <xdr:row>31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List Box 22">
              <controlPr defaultSize="0" autoLine="0" autoPict="0">
                <anchor moveWithCells="1">
                  <from>
                    <xdr:col>3</xdr:col>
                    <xdr:colOff>9525</xdr:colOff>
                    <xdr:row>32</xdr:row>
                    <xdr:rowOff>0</xdr:rowOff>
                  </from>
                  <to>
                    <xdr:col>3</xdr:col>
                    <xdr:colOff>581025</xdr:colOff>
                    <xdr:row>32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List Box 23">
              <controlPr defaultSize="0" autoLine="0" autoPict="0">
                <anchor moveWithCells="1">
                  <from>
                    <xdr:col>3</xdr:col>
                    <xdr:colOff>9525</xdr:colOff>
                    <xdr:row>33</xdr:row>
                    <xdr:rowOff>0</xdr:rowOff>
                  </from>
                  <to>
                    <xdr:col>3</xdr:col>
                    <xdr:colOff>581025</xdr:colOff>
                    <xdr:row>33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List Box 24">
              <controlPr defaultSize="0" autoLine="0" autoPict="0">
                <anchor moveWithCells="1">
                  <from>
                    <xdr:col>3</xdr:col>
                    <xdr:colOff>9525</xdr:colOff>
                    <xdr:row>34</xdr:row>
                    <xdr:rowOff>0</xdr:rowOff>
                  </from>
                  <to>
                    <xdr:col>3</xdr:col>
                    <xdr:colOff>581025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List Box 25">
              <controlPr defaultSize="0" autoLine="0" autoPict="0">
                <anchor moveWithCells="1">
                  <from>
                    <xdr:col>3</xdr:col>
                    <xdr:colOff>9525</xdr:colOff>
                    <xdr:row>35</xdr:row>
                    <xdr:rowOff>0</xdr:rowOff>
                  </from>
                  <to>
                    <xdr:col>3</xdr:col>
                    <xdr:colOff>581025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List Box 26">
              <controlPr defaultSize="0" autoLine="0" autoPict="0">
                <anchor moveWithCells="1">
                  <from>
                    <xdr:col>3</xdr:col>
                    <xdr:colOff>9525</xdr:colOff>
                    <xdr:row>36</xdr:row>
                    <xdr:rowOff>0</xdr:rowOff>
                  </from>
                  <to>
                    <xdr:col>3</xdr:col>
                    <xdr:colOff>581025</xdr:colOff>
                    <xdr:row>36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List Box 27">
              <controlPr defaultSize="0" autoLine="0" autoPict="0">
                <anchor moveWithCells="1">
                  <from>
                    <xdr:col>2</xdr:col>
                    <xdr:colOff>9525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70C0"/>
  </sheetPr>
  <dimension ref="A1:K37"/>
  <sheetViews>
    <sheetView zoomScaleNormal="100" workbookViewId="0">
      <selection sqref="A1:I1"/>
    </sheetView>
  </sheetViews>
  <sheetFormatPr defaultRowHeight="15" x14ac:dyDescent="0.25"/>
  <cols>
    <col min="1" max="1" width="4.7109375" customWidth="1"/>
    <col min="2" max="2" width="10.140625" customWidth="1"/>
    <col min="3" max="3" width="11.28515625" customWidth="1"/>
    <col min="5" max="5" width="9.85546875" bestFit="1" customWidth="1"/>
    <col min="8" max="8" width="11.42578125" customWidth="1"/>
    <col min="9" max="9" width="18" customWidth="1"/>
  </cols>
  <sheetData>
    <row r="1" spans="1:9" ht="31.5" x14ac:dyDescent="0.5">
      <c r="A1" s="92" t="s">
        <v>20</v>
      </c>
      <c r="B1" s="101"/>
      <c r="C1" s="101"/>
      <c r="D1" s="101"/>
      <c r="E1" s="101"/>
      <c r="F1" s="101"/>
      <c r="G1" s="101"/>
      <c r="H1" s="101"/>
      <c r="I1" s="102"/>
    </row>
    <row r="2" spans="1:9" ht="15" customHeight="1" x14ac:dyDescent="0.25">
      <c r="A2" s="112" t="str">
        <f>IF(Data!$A$44="errors","You have one or more input errors in the 'Data' sheet you need to correct.","")</f>
        <v/>
      </c>
      <c r="B2" s="112"/>
      <c r="C2" s="112"/>
      <c r="D2" s="112"/>
      <c r="E2" s="112"/>
      <c r="F2" s="112"/>
      <c r="G2" s="112"/>
      <c r="H2" s="112"/>
      <c r="I2" s="3"/>
    </row>
    <row r="3" spans="1:9" x14ac:dyDescent="0.25">
      <c r="A3" s="79" t="str">
        <f>CONCATENATE("The ",Data!$C$52," shares distributed to you under the demerger have the following status:")</f>
        <v>The Coles shares distributed to you under the demerger have the following status:</v>
      </c>
      <c r="B3" s="102"/>
      <c r="C3" s="102"/>
      <c r="D3" s="102"/>
      <c r="E3" s="102"/>
      <c r="F3" s="102"/>
      <c r="G3" s="102"/>
      <c r="H3" s="102"/>
      <c r="I3" s="3"/>
    </row>
    <row r="4" spans="1:9" ht="15.75" thickBot="1" x14ac:dyDescent="0.3">
      <c r="A4" s="3"/>
      <c r="B4" s="3"/>
      <c r="C4" s="3"/>
      <c r="D4" s="3"/>
      <c r="E4" s="3"/>
      <c r="F4" s="3"/>
      <c r="G4" s="3"/>
      <c r="H4" s="3"/>
      <c r="I4" s="63"/>
    </row>
    <row r="5" spans="1:9" ht="22.5" customHeight="1" thickBot="1" x14ac:dyDescent="0.3">
      <c r="A5" s="3"/>
      <c r="B5" s="26" t="s">
        <v>34</v>
      </c>
      <c r="C5" s="29" t="s">
        <v>21</v>
      </c>
      <c r="D5" s="3"/>
      <c r="E5" s="3"/>
      <c r="F5" s="3"/>
      <c r="G5" s="3"/>
      <c r="H5" s="3"/>
      <c r="I5" s="3"/>
    </row>
    <row r="6" spans="1:9" ht="15.75" thickTop="1" x14ac:dyDescent="0.25">
      <c r="A6" s="3"/>
      <c r="B6" s="66" t="s">
        <v>17</v>
      </c>
      <c r="C6" s="18">
        <f>IF(Data!$A$21=1,0,Data!$C$45*Data!$C$53)</f>
        <v>0</v>
      </c>
      <c r="D6" s="3"/>
      <c r="E6" s="3"/>
      <c r="F6" s="3"/>
      <c r="G6" s="3"/>
      <c r="H6" s="3"/>
      <c r="I6" s="3"/>
    </row>
    <row r="7" spans="1:9" x14ac:dyDescent="0.25">
      <c r="A7" s="3"/>
      <c r="B7" s="67" t="s">
        <v>18</v>
      </c>
      <c r="C7" s="19">
        <f>IF(Data!$A$21=1,(Data!$C$45+Data!$C$46)*Data!$C$53,Data!$C$46*Data!$C$53)</f>
        <v>0</v>
      </c>
      <c r="D7" s="3"/>
      <c r="E7" s="3"/>
      <c r="F7" s="3"/>
      <c r="G7" s="3"/>
      <c r="H7" s="3"/>
      <c r="I7" s="3"/>
    </row>
    <row r="8" spans="1:9" ht="15.75" thickBot="1" x14ac:dyDescent="0.3">
      <c r="A8" s="3"/>
      <c r="B8" s="68" t="s">
        <v>22</v>
      </c>
      <c r="C8" s="20">
        <f>C6+C7</f>
        <v>0</v>
      </c>
      <c r="D8" s="3"/>
      <c r="E8" s="3"/>
      <c r="F8" s="3"/>
      <c r="G8" s="3"/>
      <c r="H8" s="3"/>
      <c r="I8" s="3"/>
    </row>
    <row r="9" spans="1:9" x14ac:dyDescent="0.25">
      <c r="A9" s="3"/>
      <c r="B9" s="64"/>
      <c r="C9" s="65"/>
      <c r="D9" s="3"/>
      <c r="E9" s="3"/>
      <c r="F9" s="3"/>
      <c r="G9" s="3"/>
      <c r="H9" s="3"/>
      <c r="I9" s="3"/>
    </row>
    <row r="10" spans="1:9" x14ac:dyDescent="0.25">
      <c r="A10" s="108" t="s">
        <v>42</v>
      </c>
      <c r="B10" s="80"/>
      <c r="C10" s="80"/>
      <c r="D10" s="80"/>
      <c r="E10" s="80"/>
      <c r="F10" s="80"/>
      <c r="G10" s="80"/>
      <c r="H10" s="80"/>
      <c r="I10" s="13">
        <f>Data!$C$54*(Data!$C$45+Data!$C$46)</f>
        <v>0</v>
      </c>
    </row>
    <row r="11" spans="1:9" x14ac:dyDescent="0.25">
      <c r="A11" s="3"/>
      <c r="B11" s="69"/>
      <c r="C11" s="3"/>
      <c r="D11" s="3"/>
      <c r="E11" s="3"/>
      <c r="F11" s="3"/>
      <c r="G11" s="3"/>
      <c r="H11" s="3"/>
      <c r="I11" s="3"/>
    </row>
    <row r="12" spans="1:9" ht="30" customHeight="1" x14ac:dyDescent="0.25">
      <c r="A12" s="109" t="s">
        <v>49</v>
      </c>
      <c r="B12" s="110"/>
      <c r="C12" s="110"/>
      <c r="D12" s="110"/>
      <c r="E12" s="110"/>
      <c r="F12" s="110"/>
      <c r="G12" s="110"/>
      <c r="H12" s="111"/>
      <c r="I12" s="13">
        <f>IF(OR(Data!$A$21=2,AND(Data!$A$15=1,Data!$A$17=1)),0,SUMIF(Data!A28:A43,1,Data!H28:H43))</f>
        <v>0</v>
      </c>
    </row>
    <row r="13" spans="1:9" ht="15.75" thickBot="1" x14ac:dyDescent="0.3">
      <c r="A13" s="70"/>
      <c r="B13" s="70"/>
      <c r="C13" s="70"/>
      <c r="D13" s="70"/>
      <c r="E13" s="70"/>
      <c r="F13" s="70"/>
      <c r="G13" s="70"/>
      <c r="H13" s="70"/>
      <c r="I13" s="71"/>
    </row>
    <row r="14" spans="1:9" ht="30.75" customHeight="1" thickTop="1" x14ac:dyDescent="0.25">
      <c r="A14" s="109" t="str">
        <f>CONCATENATE("The cost base adjustments you must make to your post-CGT ",Data!$C51," and ",Data!$C52," shares immediately after the demerger are set out in the following table:")</f>
        <v>The cost base adjustments you must make to your post-CGT Wesfarmers and Coles shares immediately after the demerger are set out in the following table:</v>
      </c>
      <c r="B14" s="110"/>
      <c r="C14" s="110"/>
      <c r="D14" s="110"/>
      <c r="E14" s="110"/>
      <c r="F14" s="110"/>
      <c r="G14" s="110"/>
      <c r="H14" s="110"/>
      <c r="I14" s="3"/>
    </row>
    <row r="15" spans="1:9" ht="15.75" thickBot="1" x14ac:dyDescent="0.3">
      <c r="A15" s="63"/>
      <c r="B15" s="3"/>
      <c r="C15" s="3"/>
      <c r="D15" s="3"/>
      <c r="E15" s="3"/>
      <c r="F15" s="3"/>
      <c r="G15" s="3"/>
      <c r="H15" s="3"/>
      <c r="I15" s="3"/>
    </row>
    <row r="16" spans="1:9" ht="48" customHeight="1" thickBot="1" x14ac:dyDescent="0.3">
      <c r="A16" s="3"/>
      <c r="B16" s="103" t="s">
        <v>35</v>
      </c>
      <c r="C16" s="104"/>
      <c r="D16" s="104"/>
      <c r="E16" s="104"/>
      <c r="F16" s="104"/>
      <c r="G16" s="105"/>
      <c r="H16" s="30" t="s">
        <v>21</v>
      </c>
      <c r="I16" s="31" t="s">
        <v>23</v>
      </c>
    </row>
    <row r="17" spans="1:11" ht="15.75" thickTop="1" x14ac:dyDescent="0.25">
      <c r="A17" s="3"/>
      <c r="B17" s="116" t="str">
        <f>CONCATENATE("Post-CGT ",Data!$C$51," shares")</f>
        <v>Post-CGT Wesfarmers shares</v>
      </c>
      <c r="C17" s="117"/>
      <c r="D17" s="117"/>
      <c r="E17" s="117"/>
      <c r="F17" s="117"/>
      <c r="G17" s="117"/>
      <c r="H17" s="21">
        <f>Data!$C$46</f>
        <v>0</v>
      </c>
      <c r="I17" s="22">
        <f>IF(H17&lt;&gt;0,Data!$H$46*Data!$C$55/H17,0)</f>
        <v>0</v>
      </c>
    </row>
    <row r="18" spans="1:11" x14ac:dyDescent="0.25">
      <c r="A18" s="3"/>
      <c r="B18" s="106" t="str">
        <f>CONCATENATE(Data!$C$52," shares that correspond with pre-CGT ",Data!$C$51," shares")</f>
        <v>Coles shares that correspond with pre-CGT Wesfarmers shares</v>
      </c>
      <c r="C18" s="107"/>
      <c r="D18" s="107"/>
      <c r="E18" s="107"/>
      <c r="F18" s="107"/>
      <c r="G18" s="107"/>
      <c r="H18" s="12">
        <f>Data!$C$45*Data!$C$53</f>
        <v>0</v>
      </c>
      <c r="I18" s="23">
        <f>IF(H18&lt;&gt;0,Data!$C$57,0)</f>
        <v>0</v>
      </c>
    </row>
    <row r="19" spans="1:11" ht="15.75" thickBot="1" x14ac:dyDescent="0.3">
      <c r="A19" s="3"/>
      <c r="B19" s="118" t="str">
        <f>CONCATENATE("All other ",Data!$C$52," shares")</f>
        <v>All other Coles shares</v>
      </c>
      <c r="C19" s="119"/>
      <c r="D19" s="119"/>
      <c r="E19" s="119"/>
      <c r="F19" s="119"/>
      <c r="G19" s="119"/>
      <c r="H19" s="24">
        <f>$C$8-H18</f>
        <v>0</v>
      </c>
      <c r="I19" s="17">
        <f>IF(H19&lt;&gt;0,Data!H46*Data!$C$56/'Tax consequences'!H19,0)</f>
        <v>0</v>
      </c>
    </row>
    <row r="20" spans="1:11" ht="15.75" thickBot="1" x14ac:dyDescent="0.3">
      <c r="A20" s="71"/>
      <c r="B20" s="72"/>
      <c r="C20" s="71"/>
      <c r="D20" s="71"/>
      <c r="E20" s="71"/>
      <c r="F20" s="71"/>
      <c r="G20" s="71"/>
      <c r="H20" s="71"/>
      <c r="I20" s="71"/>
    </row>
    <row r="21" spans="1:11" ht="45" customHeight="1" thickTop="1" x14ac:dyDescent="0.25">
      <c r="A21" s="109" t="str">
        <f>CONCATENATE("The date you are taken to have acquired your ",Data!$C$52," shares, for the purpose of working out whether you are entitled to a discount capital gain if a CGT event happens to them, is set out in the following table:")</f>
        <v>The date you are taken to have acquired your Coles shares, for the purpose of working out whether you are entitled to a discount capital gain if a CGT event happens to them, is set out in the following table:</v>
      </c>
      <c r="B21" s="110"/>
      <c r="C21" s="110"/>
      <c r="D21" s="110"/>
      <c r="E21" s="110"/>
      <c r="F21" s="110"/>
      <c r="G21" s="110"/>
      <c r="H21" s="110"/>
      <c r="I21" s="3"/>
    </row>
    <row r="22" spans="1:11" ht="15.75" thickBot="1" x14ac:dyDescent="0.3">
      <c r="A22" s="63"/>
      <c r="B22" s="3"/>
      <c r="C22" s="3"/>
      <c r="D22" s="3"/>
      <c r="E22" s="3"/>
      <c r="F22" s="3"/>
      <c r="G22" s="3"/>
      <c r="H22" s="3"/>
      <c r="I22" s="3"/>
    </row>
    <row r="23" spans="1:11" ht="15.75" thickBot="1" x14ac:dyDescent="0.3">
      <c r="A23" s="3"/>
      <c r="B23" s="103" t="str">
        <f>CONCATENATE("Category of ",Data!$C$52," shares")</f>
        <v>Category of Coles shares</v>
      </c>
      <c r="C23" s="104"/>
      <c r="D23" s="104"/>
      <c r="E23" s="104"/>
      <c r="F23" s="104"/>
      <c r="G23" s="105"/>
      <c r="H23" s="30" t="s">
        <v>21</v>
      </c>
      <c r="I23" s="29" t="s">
        <v>32</v>
      </c>
    </row>
    <row r="24" spans="1:11" ht="15.75" thickTop="1" x14ac:dyDescent="0.25">
      <c r="A24" s="3"/>
      <c r="B24" s="106" t="str">
        <f>CONCATENATE(Data!$C$52," shares that correspond with pre-CGT ",Data!$C$51," shares")</f>
        <v>Coles shares that correspond with pre-CGT Wesfarmers shares</v>
      </c>
      <c r="C24" s="107"/>
      <c r="D24" s="107"/>
      <c r="E24" s="107"/>
      <c r="F24" s="107"/>
      <c r="G24" s="107"/>
      <c r="H24" s="25">
        <f>H18</f>
        <v>0</v>
      </c>
      <c r="I24" s="45" t="str">
        <f>IF(H24&lt;&gt;0,IF(Data!A21=1,Data!$C$64,"Pre-CGT"),"")</f>
        <v/>
      </c>
    </row>
    <row r="25" spans="1:11" ht="60" customHeight="1" x14ac:dyDescent="0.25">
      <c r="A25" s="3"/>
      <c r="B25" s="113" t="str">
        <f>CONCATENATE("All other ",Data!$C$52," shares")</f>
        <v>All other Coles shares</v>
      </c>
      <c r="C25" s="114"/>
      <c r="D25" s="114"/>
      <c r="E25" s="114"/>
      <c r="F25" s="114"/>
      <c r="G25" s="115"/>
      <c r="H25" s="62">
        <f>H19</f>
        <v>0</v>
      </c>
      <c r="I25" s="77" t="str">
        <f>IF(H25&lt;&gt;0,CONCATENATE("When the corresponding ",Data!$C$51," share was acquired"),"")</f>
        <v/>
      </c>
    </row>
    <row r="26" spans="1:11" ht="15" customHeight="1" x14ac:dyDescent="0.25">
      <c r="A26" s="65"/>
      <c r="B26" s="73"/>
      <c r="C26" s="74"/>
      <c r="D26" s="74"/>
      <c r="E26" s="74"/>
      <c r="F26" s="74"/>
      <c r="G26" s="74"/>
      <c r="H26" s="65"/>
      <c r="I26" s="75"/>
    </row>
    <row r="27" spans="1:11" ht="15" customHeight="1" x14ac:dyDescent="0.25">
      <c r="A27" s="108" t="str">
        <f>CONCATENATE("The dividend component of the distribution to you of the ",Data!$C$52," shares is:")</f>
        <v>The dividend component of the distribution to you of the Coles shares is:</v>
      </c>
      <c r="B27" s="80"/>
      <c r="C27" s="80"/>
      <c r="D27" s="80"/>
      <c r="E27" s="80"/>
      <c r="F27" s="80"/>
      <c r="G27" s="80"/>
      <c r="H27" s="80"/>
      <c r="I27" s="13">
        <f>(Data!$C$57-Data!$C$54/Data!$C$53)*$C$8</f>
        <v>0</v>
      </c>
    </row>
    <row r="28" spans="1:11" ht="15" customHeight="1" x14ac:dyDescent="0.25">
      <c r="A28" s="3"/>
      <c r="B28" s="80" t="s">
        <v>31</v>
      </c>
      <c r="C28" s="80"/>
      <c r="D28" s="80"/>
      <c r="E28" s="80"/>
      <c r="F28" s="80"/>
      <c r="G28" s="80"/>
      <c r="H28" s="80"/>
      <c r="I28" s="3"/>
    </row>
    <row r="29" spans="1:11" x14ac:dyDescent="0.25">
      <c r="A29" s="3"/>
      <c r="B29" s="80" t="str">
        <f>IF(Data!$A$15=1,"None of this amount is subject to dividend withholding tax.","")</f>
        <v/>
      </c>
      <c r="C29" s="80"/>
      <c r="D29" s="80"/>
      <c r="E29" s="80"/>
      <c r="F29" s="80"/>
      <c r="G29" s="80"/>
      <c r="H29" s="80"/>
      <c r="I29" s="3"/>
    </row>
    <row r="30" spans="1:11" x14ac:dyDescent="0.25">
      <c r="A30" s="65"/>
      <c r="B30" s="65"/>
      <c r="C30" s="65"/>
      <c r="D30" s="65"/>
      <c r="E30" s="65"/>
      <c r="F30" s="65"/>
      <c r="G30" s="65"/>
      <c r="H30" s="65"/>
      <c r="I30" s="65"/>
    </row>
    <row r="31" spans="1:11" x14ac:dyDescent="0.25">
      <c r="A31" s="108" t="str">
        <f>IF(Data!$A$19=2,CONCATENATE("The consequences of sale of your ",Data!$C$52," shares under the Sale Facility are:"),"")</f>
        <v/>
      </c>
      <c r="B31" s="80"/>
      <c r="C31" s="80"/>
      <c r="D31" s="80"/>
      <c r="E31" s="80"/>
      <c r="F31" s="80"/>
      <c r="G31" s="80"/>
      <c r="H31" s="80"/>
      <c r="I31" s="3"/>
    </row>
    <row r="32" spans="1:11" ht="30" customHeight="1" x14ac:dyDescent="0.25">
      <c r="A32" s="3"/>
      <c r="B32" s="82" t="str">
        <f>IF(Data!$A$19=2,CONCATENATE("You have a capital ",IF(I32&lt;0,"loss ","gain "),"on your ",B18," of:"),"")</f>
        <v/>
      </c>
      <c r="C32" s="82"/>
      <c r="D32" s="82"/>
      <c r="E32" s="82"/>
      <c r="F32" s="82"/>
      <c r="G32" s="82"/>
      <c r="H32" s="80"/>
      <c r="I32" s="76" t="str">
        <f>IF(Data!$A$19=2,IF(AND(Data!$A$15=1,Data!$A$16=1),0,IF(Data!$A$21=2,0,'Tax consequences'!$H$18*(Data!$C$60-'Tax consequences'!$I$18))),"")</f>
        <v/>
      </c>
      <c r="J32" s="78"/>
      <c r="K32" s="78"/>
    </row>
    <row r="33" spans="1:9" x14ac:dyDescent="0.25">
      <c r="A33" s="3"/>
      <c r="B33" s="80" t="str">
        <f>IF(Data!$A$19=2,CONCATENATE("You have a capital ",IF(I33&lt;0,"loss ","gain "),"on your other ",Data!$C$52," shares of:"),"")</f>
        <v/>
      </c>
      <c r="C33" s="80"/>
      <c r="D33" s="80"/>
      <c r="E33" s="80"/>
      <c r="F33" s="80"/>
      <c r="G33" s="80"/>
      <c r="H33" s="80"/>
      <c r="I33" s="76" t="str">
        <f>IF(Data!$A$19=2,IF(AND(Data!$A$15=1,Data!$A$16=1),0,'Tax consequences'!$H$19*(Data!$C$60-'Tax consequences'!$I$19)),"")</f>
        <v/>
      </c>
    </row>
    <row r="34" spans="1:9" x14ac:dyDescent="0.25">
      <c r="A34" s="64" t="str">
        <f>IF(Data!A23=2,"You are entitled to the following deduction:","")</f>
        <v/>
      </c>
      <c r="B34" s="65"/>
      <c r="C34" s="65"/>
      <c r="D34" s="65"/>
      <c r="E34" s="65"/>
      <c r="F34" s="65"/>
      <c r="G34" s="65"/>
      <c r="H34" s="65"/>
      <c r="I34" s="65"/>
    </row>
    <row r="35" spans="1:9" x14ac:dyDescent="0.25">
      <c r="A35" s="108" t="str">
        <f>IF(AND(Data!$A$19=2,Data!$A$20=2),CONCATENATE("Deduction for gift of proceeds of ",Data!$C$52," shares sold through Share Sale Facility"),"")</f>
        <v/>
      </c>
      <c r="B35" s="80"/>
      <c r="C35" s="80"/>
      <c r="D35" s="80"/>
      <c r="E35" s="80"/>
      <c r="F35" s="80"/>
      <c r="G35" s="80"/>
      <c r="H35" s="80"/>
      <c r="I35" s="3"/>
    </row>
    <row r="36" spans="1:9" x14ac:dyDescent="0.25">
      <c r="A36" s="3"/>
      <c r="B36" s="80" t="str">
        <f>IF(AND(Data!$A$19=2,Data!$A$20=2),"Your deduction is:","")</f>
        <v/>
      </c>
      <c r="C36" s="80"/>
      <c r="D36" s="80"/>
      <c r="E36" s="80"/>
      <c r="F36" s="80"/>
      <c r="G36" s="80"/>
      <c r="H36" s="80"/>
      <c r="I36" s="69" t="str">
        <f>IF(AND(Data!$A$19=2,Data!$A$20=2),Data!$C$60*$C$8,"")</f>
        <v/>
      </c>
    </row>
    <row r="37" spans="1:9" ht="30" customHeight="1" x14ac:dyDescent="0.25">
      <c r="A37" s="3"/>
      <c r="B37" s="82" t="str">
        <f>IF(AND(Data!$A$19=2,Data!$A$20=2),"Note: This is subject to the limit on deductions mentioned in section 26-55 of the Income Tax Assessment Act 1997.","")</f>
        <v/>
      </c>
      <c r="C37" s="82"/>
      <c r="D37" s="82"/>
      <c r="E37" s="82"/>
      <c r="F37" s="82"/>
      <c r="G37" s="82"/>
      <c r="H37" s="82"/>
      <c r="I37" s="3"/>
    </row>
  </sheetData>
  <sheetProtection password="F1BD" sheet="1" objects="1" scenarios="1"/>
  <mergeCells count="23">
    <mergeCell ref="B36:H36"/>
    <mergeCell ref="B37:H37"/>
    <mergeCell ref="B33:H33"/>
    <mergeCell ref="B29:H29"/>
    <mergeCell ref="B28:H28"/>
    <mergeCell ref="A31:H31"/>
    <mergeCell ref="A35:H35"/>
    <mergeCell ref="A27:H27"/>
    <mergeCell ref="B32:H32"/>
    <mergeCell ref="B25:G25"/>
    <mergeCell ref="B23:G23"/>
    <mergeCell ref="B17:G17"/>
    <mergeCell ref="B18:G18"/>
    <mergeCell ref="B19:G19"/>
    <mergeCell ref="A1:I1"/>
    <mergeCell ref="B16:G16"/>
    <mergeCell ref="B24:G24"/>
    <mergeCell ref="A3:H3"/>
    <mergeCell ref="A10:H10"/>
    <mergeCell ref="A12:H12"/>
    <mergeCell ref="A14:H14"/>
    <mergeCell ref="A21:H21"/>
    <mergeCell ref="A2:H2"/>
  </mergeCell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46D4410B-2C95-42E7-B5B0-2366BFAE91C5}">
            <xm:f>Data!$A$15=1</xm:f>
            <x14:dxf>
              <fill>
                <patternFill patternType="none">
                  <bgColor auto="1"/>
                </patternFill>
              </fill>
            </x14:dxf>
          </x14:cfRule>
          <xm:sqref>B29:H29</xm:sqref>
        </x14:conditionalFormatting>
        <x14:conditionalFormatting xmlns:xm="http://schemas.microsoft.com/office/excel/2006/main">
          <x14:cfRule type="expression" priority="10" id="{2CFBCA92-C8BC-4D50-ABA1-E014AB62C584}">
            <xm:f>Data!$A$19=2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A31:H31</xm:sqref>
        </x14:conditionalFormatting>
        <x14:conditionalFormatting xmlns:xm="http://schemas.microsoft.com/office/excel/2006/main">
          <x14:cfRule type="expression" priority="9" id="{5B5B411D-572B-46F1-A704-47E13C3D6661}">
            <xm:f>Data!$A$19=2</xm:f>
            <x14:dxf>
              <fill>
                <patternFill patternType="none">
                  <bgColor auto="1"/>
                </patternFill>
              </fill>
            </x14:dxf>
          </x14:cfRule>
          <xm:sqref>B32:H32</xm:sqref>
        </x14:conditionalFormatting>
        <x14:conditionalFormatting xmlns:xm="http://schemas.microsoft.com/office/excel/2006/main">
          <x14:cfRule type="expression" priority="8" id="{8E63E374-1107-49A9-8CFB-75190DA44711}">
            <xm:f>AND(Data!$A$19=2,Data!$A$21&lt;&gt;2)</xm:f>
            <x14:dxf>
              <fill>
                <patternFill patternType="none">
                  <bgColor auto="1"/>
                </patternFill>
              </fill>
            </x14:dxf>
          </x14:cfRule>
          <xm:sqref>B33:H33</xm:sqref>
        </x14:conditionalFormatting>
        <x14:conditionalFormatting xmlns:xm="http://schemas.microsoft.com/office/excel/2006/main">
          <x14:cfRule type="expression" priority="7" id="{E2F333B7-975B-4949-B197-1E23E81DB0B0}">
            <xm:f>Data!$A$19=2</xm:f>
            <x14:dxf>
              <fill>
                <patternFill>
                  <bgColor theme="2" tint="-9.9948118533890809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I32</xm:sqref>
        </x14:conditionalFormatting>
        <x14:conditionalFormatting xmlns:xm="http://schemas.microsoft.com/office/excel/2006/main">
          <x14:cfRule type="expression" priority="5" id="{408F702F-7F5B-4765-9035-AFF5C2F914EC}">
            <xm:f>AND(Data!$A$19=2,Data!$A$20=2)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A35:H35</xm:sqref>
        </x14:conditionalFormatting>
        <x14:conditionalFormatting xmlns:xm="http://schemas.microsoft.com/office/excel/2006/main">
          <x14:cfRule type="expression" priority="4" id="{B407B38B-489E-48D4-BCE5-43867057DE44}">
            <xm:f>AND(Data!$A$19=2,Data!$A$20=2)</xm:f>
            <x14:dxf>
              <fill>
                <patternFill patternType="none">
                  <bgColor auto="1"/>
                </patternFill>
              </fill>
            </x14:dxf>
          </x14:cfRule>
          <xm:sqref>B36:H37</xm:sqref>
        </x14:conditionalFormatting>
        <x14:conditionalFormatting xmlns:xm="http://schemas.microsoft.com/office/excel/2006/main">
          <x14:cfRule type="expression" priority="3" id="{05C9FA8C-7F97-4460-ADE5-DB758B124576}">
            <xm:f>AND(Data!$A$19=2,Data!$A$20=2)</xm:f>
            <x14:dxf>
              <fill>
                <patternFill>
                  <bgColor theme="2" tint="-9.9948118533890809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I36</xm:sqref>
        </x14:conditionalFormatting>
        <x14:conditionalFormatting xmlns:xm="http://schemas.microsoft.com/office/excel/2006/main">
          <x14:cfRule type="expression" priority="2" id="{25FCE680-4146-4068-995E-5D5CDE904431}">
            <xm:f>Data!$A$44="errors"</xm:f>
            <x14:dxf>
              <fill>
                <patternFill>
                  <bgColor rgb="FFFF0000"/>
                </patternFill>
              </fill>
            </x14:dxf>
          </x14:cfRule>
          <xm:sqref>A2:H2</xm:sqref>
        </x14:conditionalFormatting>
        <x14:conditionalFormatting xmlns:xm="http://schemas.microsoft.com/office/excel/2006/main">
          <x14:cfRule type="expression" priority="1" id="{28E035CB-B6E5-443F-A350-ADC9D2308E45}">
            <xm:f>Data!$A$19=2</xm:f>
            <x14:dxf>
              <fill>
                <patternFill>
                  <bgColor theme="2" tint="-9.9948118533890809E-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I33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Tax consequences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Phillips</dc:creator>
  <cp:lastModifiedBy>Stephen Phillips - ext 80090</cp:lastModifiedBy>
  <dcterms:created xsi:type="dcterms:W3CDTF">2019-04-23T06:50:41Z</dcterms:created>
  <dcterms:modified xsi:type="dcterms:W3CDTF">2019-06-28T04:06:53Z</dcterms:modified>
</cp:coreProperties>
</file>