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Y:\4. Tax time folders\Tax time 2026\Web content\myTax\"/>
    </mc:Choice>
  </mc:AlternateContent>
  <xr:revisionPtr revIDLastSave="0" documentId="8_{C0B39592-9A6C-4184-A388-7486F963451B}" xr6:coauthVersionLast="47" xr6:coauthVersionMax="47" xr10:uidLastSave="{00000000-0000-0000-0000-000000000000}"/>
  <workbookProtection workbookAlgorithmName="SHA-256" workbookHashValue="AJLJcc6ItGGx4r0kxftABTvZgqaX716xRtRBBu3EYdU=" workbookSaltValue="nXfsD7yAuO2FJEECfR/sww==" workbookSpinCount="100000" lockStructure="1"/>
  <bookViews>
    <workbookView xWindow="-120" yWindow="-120" windowWidth="29040" windowHeight="15840" xr2:uid="{DD1E9C95-C661-455B-BAA3-99DAE9A9401E}"/>
  </bookViews>
  <sheets>
    <sheet name="Borrowing expenses" sheetId="1" r:id="rId1"/>
    <sheet name="Version control and about" sheetId="3" state="hidden" r:id="rId2"/>
    <sheet name="Reference module" sheetId="2" state="hidden" r:id="rId3"/>
    <sheet name="Test module" sheetId="4" state="hidden" r:id="rId4"/>
  </sheets>
  <definedNames>
    <definedName name="_xlnm._FilterDatabase" localSheetId="2" hidden="1">'Reference module'!$E$1:$U$1245</definedName>
    <definedName name="_xlnm.Print_Area" localSheetId="0">'Borrowing expenses'!$A$1:$E$64</definedName>
    <definedName name="_xlnm.Print_Titles" localSheetId="0">'Borrowing expenses'!$2:$4</definedName>
    <definedName name="RowTitle">'Borrowing expenses'!$A$27:$E$62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52" i="2" l="1"/>
  <c r="B1249" i="2" l="1"/>
  <c r="B1251" i="2" s="1"/>
  <c r="B1221" i="2" s="1"/>
  <c r="A63" i="1" l="1"/>
  <c r="A14" i="1" l="1"/>
  <c r="B458" i="2" l="1"/>
  <c r="C20" i="4"/>
  <c r="C10" i="4"/>
  <c r="A33" i="1" l="1"/>
  <c r="A35" i="1"/>
  <c r="A34" i="1"/>
  <c r="B664" i="2"/>
  <c r="H655" i="2"/>
  <c r="G655" i="2"/>
  <c r="F655" i="2"/>
  <c r="E655" i="2"/>
  <c r="D655" i="2"/>
  <c r="C655" i="2"/>
  <c r="B655" i="2"/>
  <c r="E64" i="2"/>
  <c r="B66" i="2"/>
  <c r="C4" i="1" s="1"/>
  <c r="A47" i="1"/>
  <c r="B958" i="2"/>
  <c r="H949" i="2"/>
  <c r="G949" i="2"/>
  <c r="F949" i="2"/>
  <c r="E949" i="2"/>
  <c r="D949" i="2"/>
  <c r="C949" i="2"/>
  <c r="B949" i="2"/>
  <c r="B783" i="2"/>
  <c r="A18" i="1"/>
  <c r="B269" i="2"/>
  <c r="H260" i="2"/>
  <c r="G260" i="2"/>
  <c r="F260" i="2"/>
  <c r="E260" i="2"/>
  <c r="D260" i="2"/>
  <c r="C260" i="2"/>
  <c r="B260" i="2"/>
  <c r="H19" i="2" l="1"/>
  <c r="G19" i="2"/>
  <c r="F19" i="2"/>
  <c r="E19" i="2"/>
  <c r="D19" i="2"/>
  <c r="C19" i="2"/>
  <c r="B19" i="2"/>
  <c r="H5" i="2"/>
  <c r="G5" i="2"/>
  <c r="F5" i="2"/>
  <c r="E5" i="2"/>
  <c r="D5" i="2"/>
  <c r="C5" i="2"/>
  <c r="B5" i="2"/>
  <c r="B28" i="2"/>
  <c r="A20" i="1"/>
  <c r="B49" i="2"/>
  <c r="A4" i="1" s="1"/>
  <c r="A8" i="1"/>
  <c r="I18" i="4"/>
  <c r="H18" i="4"/>
  <c r="G18" i="4"/>
  <c r="R67" i="4"/>
  <c r="R66" i="4"/>
  <c r="R65" i="4"/>
  <c r="R64" i="4"/>
  <c r="R58" i="4"/>
  <c r="R57" i="4"/>
  <c r="R56" i="4"/>
  <c r="R49" i="4"/>
  <c r="R48" i="4"/>
  <c r="R40" i="4"/>
  <c r="R13" i="4"/>
  <c r="F13" i="4"/>
  <c r="M13" i="4" s="1"/>
  <c r="K63" i="4" s="1"/>
  <c r="J19" i="4" l="1"/>
  <c r="J18" i="4"/>
  <c r="J38" i="4"/>
  <c r="J65" i="4"/>
  <c r="K37" i="4"/>
  <c r="K64" i="4"/>
  <c r="K38" i="4"/>
  <c r="K65" i="4"/>
  <c r="J46" i="4"/>
  <c r="M35" i="4"/>
  <c r="K46" i="4"/>
  <c r="M62" i="4"/>
  <c r="J47" i="4"/>
  <c r="K47" i="4"/>
  <c r="J30" i="4"/>
  <c r="J55" i="4"/>
  <c r="J31" i="4"/>
  <c r="K55" i="4"/>
  <c r="K26" i="4"/>
  <c r="J56" i="4"/>
  <c r="K56" i="4"/>
  <c r="K27" i="4"/>
  <c r="J37" i="4"/>
  <c r="J64" i="4"/>
  <c r="J39" i="4"/>
  <c r="J57" i="4"/>
  <c r="K48" i="4"/>
  <c r="J58" i="4"/>
  <c r="K39" i="4"/>
  <c r="K57" i="4"/>
  <c r="J40" i="4"/>
  <c r="K49" i="4"/>
  <c r="J26" i="4"/>
  <c r="J35" i="4"/>
  <c r="J44" i="4"/>
  <c r="J53" i="4"/>
  <c r="J62" i="4"/>
  <c r="M26" i="4"/>
  <c r="K29" i="4"/>
  <c r="K66" i="4"/>
  <c r="J49" i="4"/>
  <c r="J67" i="4"/>
  <c r="J27" i="4"/>
  <c r="K35" i="4"/>
  <c r="K44" i="4"/>
  <c r="K53" i="4"/>
  <c r="K62" i="4"/>
  <c r="J28" i="4"/>
  <c r="J36" i="4"/>
  <c r="J45" i="4"/>
  <c r="J54" i="4"/>
  <c r="J63" i="4"/>
  <c r="L63" i="4" s="1"/>
  <c r="K28" i="4"/>
  <c r="J48" i="4"/>
  <c r="J66" i="4"/>
  <c r="K30" i="4"/>
  <c r="K31" i="4"/>
  <c r="K40" i="4"/>
  <c r="K58" i="4"/>
  <c r="K67" i="4"/>
  <c r="M44" i="4"/>
  <c r="R44" i="4" s="1"/>
  <c r="J29" i="4"/>
  <c r="K36" i="4"/>
  <c r="K45" i="4"/>
  <c r="K54" i="4"/>
  <c r="M53" i="4"/>
  <c r="R53" i="4" s="1"/>
  <c r="R62" i="4" l="1"/>
  <c r="M27" i="4"/>
  <c r="R27" i="4" s="1"/>
  <c r="R35" i="4"/>
  <c r="R26" i="4"/>
  <c r="L26" i="4"/>
  <c r="L31" i="4"/>
  <c r="L55" i="4"/>
  <c r="M30" i="4"/>
  <c r="L54" i="4"/>
  <c r="J20" i="4"/>
  <c r="L29" i="4"/>
  <c r="M37" i="4"/>
  <c r="L47" i="4"/>
  <c r="L30" i="4"/>
  <c r="L44" i="4"/>
  <c r="L53" i="4"/>
  <c r="L46" i="4"/>
  <c r="L27" i="4"/>
  <c r="M38" i="4"/>
  <c r="L38" i="4"/>
  <c r="M28" i="4"/>
  <c r="L39" i="4"/>
  <c r="L62" i="4"/>
  <c r="L37" i="4"/>
  <c r="M29" i="4"/>
  <c r="L35" i="4"/>
  <c r="L45" i="4"/>
  <c r="M45" i="4"/>
  <c r="R45" i="4" s="1"/>
  <c r="L36" i="4"/>
  <c r="M36" i="4"/>
  <c r="M63" i="4"/>
  <c r="M46" i="4"/>
  <c r="R46" i="4" s="1"/>
  <c r="L28" i="4"/>
  <c r="M71" i="4"/>
  <c r="M54" i="4"/>
  <c r="R38" i="4" l="1"/>
  <c r="R37" i="4"/>
  <c r="R30" i="4"/>
  <c r="R29" i="4"/>
  <c r="M55" i="4"/>
  <c r="R54" i="4"/>
  <c r="M39" i="4"/>
  <c r="R36" i="4"/>
  <c r="R28" i="4"/>
  <c r="M68" i="4"/>
  <c r="R63" i="4"/>
  <c r="M72" i="4"/>
  <c r="M31" i="4"/>
  <c r="M80" i="4"/>
  <c r="M16" i="4" s="1"/>
  <c r="M47" i="4"/>
  <c r="M81" i="4" l="1"/>
  <c r="M17" i="4" s="1"/>
  <c r="R55" i="4"/>
  <c r="M74" i="4"/>
  <c r="M73" i="4"/>
  <c r="M59" i="4"/>
  <c r="M75" i="4"/>
  <c r="R39" i="4"/>
  <c r="M76" i="4"/>
  <c r="R31" i="4"/>
  <c r="M50" i="4"/>
  <c r="R47" i="4"/>
  <c r="M32" i="4"/>
  <c r="M85" i="4" l="1"/>
  <c r="M21" i="4" s="1"/>
  <c r="M84" i="4"/>
  <c r="M20" i="4" s="1"/>
  <c r="M82" i="4"/>
  <c r="M18" i="4" s="1"/>
  <c r="M83" i="4"/>
  <c r="M19" i="4" s="1"/>
  <c r="M77" i="4"/>
  <c r="M86" i="4" l="1"/>
  <c r="M22" i="4"/>
  <c r="C21" i="4"/>
  <c r="W6" i="4"/>
  <c r="B727" i="2"/>
  <c r="B839" i="2"/>
  <c r="B699" i="2"/>
  <c r="B755" i="2"/>
  <c r="B811" i="2"/>
  <c r="B867" i="2"/>
  <c r="B374" i="2"/>
  <c r="B979" i="2" s="1"/>
  <c r="B402" i="2"/>
  <c r="B1007" i="2" s="1"/>
  <c r="B965" i="2"/>
  <c r="B993" i="2"/>
  <c r="K1253" i="2"/>
  <c r="K1254" i="2" s="1"/>
  <c r="I13" i="4" l="1"/>
  <c r="N53" i="4" s="1"/>
  <c r="B895" i="2"/>
  <c r="E43" i="1" s="1"/>
  <c r="B486" i="2"/>
  <c r="D53" i="1"/>
  <c r="N4" i="4" s="1"/>
  <c r="C53" i="1"/>
  <c r="M4" i="4" s="1"/>
  <c r="A3" i="1"/>
  <c r="A3" i="4" s="1"/>
  <c r="E3" i="4" s="1"/>
  <c r="B59" i="2"/>
  <c r="H47" i="2"/>
  <c r="G47" i="2"/>
  <c r="F47" i="2"/>
  <c r="E47" i="2"/>
  <c r="D47" i="2"/>
  <c r="C47" i="2"/>
  <c r="B47" i="2"/>
  <c r="A7" i="1"/>
  <c r="A6" i="1"/>
  <c r="A5" i="1"/>
  <c r="B572" i="2"/>
  <c r="A31" i="1" s="1"/>
  <c r="A64" i="1"/>
  <c r="B1242" i="2"/>
  <c r="H1233" i="2"/>
  <c r="G1233" i="2"/>
  <c r="F1233" i="2"/>
  <c r="E1233" i="2"/>
  <c r="D1233" i="2"/>
  <c r="C1233" i="2"/>
  <c r="B1233" i="2"/>
  <c r="A61" i="1"/>
  <c r="B1228" i="2"/>
  <c r="H1219" i="2"/>
  <c r="G1219" i="2"/>
  <c r="F1219" i="2"/>
  <c r="E1219" i="2"/>
  <c r="D1219" i="2"/>
  <c r="C1219" i="2"/>
  <c r="B1219" i="2"/>
  <c r="B1214" i="2"/>
  <c r="H1205" i="2"/>
  <c r="G1205" i="2"/>
  <c r="F1205" i="2"/>
  <c r="E1205" i="2"/>
  <c r="D1205" i="2"/>
  <c r="C1205" i="2"/>
  <c r="B1205" i="2"/>
  <c r="B1200" i="2"/>
  <c r="H1191" i="2"/>
  <c r="G1191" i="2"/>
  <c r="F1191" i="2"/>
  <c r="E1191" i="2"/>
  <c r="D1191" i="2"/>
  <c r="C1191" i="2"/>
  <c r="B1191" i="2"/>
  <c r="B53" i="1"/>
  <c r="L4" i="4" s="1"/>
  <c r="A46" i="1"/>
  <c r="A51" i="1"/>
  <c r="B49" i="1"/>
  <c r="B48" i="1"/>
  <c r="B586" i="2"/>
  <c r="B555" i="2"/>
  <c r="B1106" i="2"/>
  <c r="B1108" i="2" s="1"/>
  <c r="B1084" i="2"/>
  <c r="H1075" i="2"/>
  <c r="G1075" i="2"/>
  <c r="F1075" i="2"/>
  <c r="E1075" i="2"/>
  <c r="D1075" i="2"/>
  <c r="C1075" i="2"/>
  <c r="B1075" i="2"/>
  <c r="B1070" i="2"/>
  <c r="H1061" i="2"/>
  <c r="G1061" i="2"/>
  <c r="F1061" i="2"/>
  <c r="E1061" i="2"/>
  <c r="D1061" i="2"/>
  <c r="C1061" i="2"/>
  <c r="B1061" i="2"/>
  <c r="N62" i="4" l="1"/>
  <c r="N54" i="4"/>
  <c r="N55" i="4"/>
  <c r="N63" i="4"/>
  <c r="N26" i="4"/>
  <c r="N35" i="4"/>
  <c r="N28" i="4"/>
  <c r="O28" i="4" s="1"/>
  <c r="N36" i="4"/>
  <c r="O36" i="4" s="1"/>
  <c r="N29" i="4"/>
  <c r="O29" i="4" s="1"/>
  <c r="N27" i="4"/>
  <c r="O27" i="4" s="1"/>
  <c r="N30" i="4"/>
  <c r="N38" i="4"/>
  <c r="N37" i="4"/>
  <c r="O37" i="4" s="1"/>
  <c r="N39" i="4"/>
  <c r="N31" i="4"/>
  <c r="N45" i="4"/>
  <c r="O45" i="4" s="1"/>
  <c r="N47" i="4"/>
  <c r="N44" i="4"/>
  <c r="N46" i="4"/>
  <c r="B1109" i="2"/>
  <c r="E1130" i="2"/>
  <c r="E1112" i="2"/>
  <c r="E1139" i="2"/>
  <c r="E1148" i="2"/>
  <c r="E1149" i="2" s="1"/>
  <c r="E1121" i="2"/>
  <c r="B1096" i="2"/>
  <c r="B1056" i="2"/>
  <c r="H1047" i="2"/>
  <c r="G1047" i="2"/>
  <c r="F1047" i="2"/>
  <c r="E1047" i="2"/>
  <c r="D1047" i="2"/>
  <c r="C1047" i="2"/>
  <c r="B1047" i="2"/>
  <c r="B430" i="2"/>
  <c r="A50" i="1"/>
  <c r="B1042" i="2"/>
  <c r="H1033" i="2"/>
  <c r="G1033" i="2"/>
  <c r="F1033" i="2"/>
  <c r="E1033" i="2"/>
  <c r="D1033" i="2"/>
  <c r="C1033" i="2"/>
  <c r="B1033" i="2"/>
  <c r="B1028" i="2"/>
  <c r="H1019" i="2"/>
  <c r="G1019" i="2"/>
  <c r="F1019" i="2"/>
  <c r="E1019" i="2"/>
  <c r="D1019" i="2"/>
  <c r="C1019" i="2"/>
  <c r="B1019" i="2"/>
  <c r="B1014" i="2"/>
  <c r="H1005" i="2"/>
  <c r="G1005" i="2"/>
  <c r="F1005" i="2"/>
  <c r="E1005" i="2"/>
  <c r="D1005" i="2"/>
  <c r="C1005" i="2"/>
  <c r="B1005" i="2"/>
  <c r="B1000" i="2"/>
  <c r="A49" i="1"/>
  <c r="H991" i="2"/>
  <c r="G991" i="2"/>
  <c r="F991" i="2"/>
  <c r="E991" i="2"/>
  <c r="D991" i="2"/>
  <c r="C991" i="2"/>
  <c r="B991" i="2"/>
  <c r="A48" i="1"/>
  <c r="B986" i="2"/>
  <c r="H977" i="2"/>
  <c r="G977" i="2"/>
  <c r="F977" i="2"/>
  <c r="E977" i="2"/>
  <c r="D977" i="2"/>
  <c r="C977" i="2"/>
  <c r="B977" i="2"/>
  <c r="B972" i="2"/>
  <c r="H963" i="2"/>
  <c r="G963" i="2"/>
  <c r="F963" i="2"/>
  <c r="E963" i="2"/>
  <c r="D963" i="2"/>
  <c r="C963" i="2"/>
  <c r="B963" i="2"/>
  <c r="A21" i="1"/>
  <c r="A13" i="1"/>
  <c r="B944" i="2"/>
  <c r="H935" i="2"/>
  <c r="G935" i="2"/>
  <c r="F935" i="2"/>
  <c r="E935" i="2"/>
  <c r="D935" i="2"/>
  <c r="C935" i="2"/>
  <c r="B935" i="2"/>
  <c r="B930" i="2"/>
  <c r="H921" i="2"/>
  <c r="G921" i="2"/>
  <c r="F921" i="2"/>
  <c r="E921" i="2"/>
  <c r="D921" i="2"/>
  <c r="C921" i="2"/>
  <c r="B921" i="2"/>
  <c r="B916" i="2"/>
  <c r="H907" i="2"/>
  <c r="G907" i="2"/>
  <c r="F907" i="2"/>
  <c r="E907" i="2"/>
  <c r="D907" i="2"/>
  <c r="C907" i="2"/>
  <c r="B907" i="2"/>
  <c r="B731" i="2"/>
  <c r="A43" i="1"/>
  <c r="B902" i="2"/>
  <c r="H893" i="2"/>
  <c r="G893" i="2"/>
  <c r="F893" i="2"/>
  <c r="E893" i="2"/>
  <c r="D893" i="2"/>
  <c r="C893" i="2"/>
  <c r="B893" i="2"/>
  <c r="B888" i="2"/>
  <c r="H879" i="2"/>
  <c r="G879" i="2"/>
  <c r="F879" i="2"/>
  <c r="E879" i="2"/>
  <c r="D879" i="2"/>
  <c r="C879" i="2"/>
  <c r="B879" i="2"/>
  <c r="A42" i="1"/>
  <c r="B874" i="2"/>
  <c r="H865" i="2"/>
  <c r="G865" i="2"/>
  <c r="F865" i="2"/>
  <c r="E865" i="2"/>
  <c r="D865" i="2"/>
  <c r="C865" i="2"/>
  <c r="B865" i="2"/>
  <c r="B860" i="2"/>
  <c r="H851" i="2"/>
  <c r="G851" i="2"/>
  <c r="F851" i="2"/>
  <c r="E851" i="2"/>
  <c r="D851" i="2"/>
  <c r="C851" i="2"/>
  <c r="B851" i="2"/>
  <c r="A41" i="1"/>
  <c r="B846" i="2"/>
  <c r="H837" i="2"/>
  <c r="G837" i="2"/>
  <c r="F837" i="2"/>
  <c r="E837" i="2"/>
  <c r="D837" i="2"/>
  <c r="C837" i="2"/>
  <c r="B837" i="2"/>
  <c r="B832" i="2"/>
  <c r="H823" i="2"/>
  <c r="G823" i="2"/>
  <c r="F823" i="2"/>
  <c r="E823" i="2"/>
  <c r="D823" i="2"/>
  <c r="C823" i="2"/>
  <c r="B823" i="2"/>
  <c r="A40" i="1"/>
  <c r="B818" i="2"/>
  <c r="H809" i="2"/>
  <c r="G809" i="2"/>
  <c r="F809" i="2"/>
  <c r="E809" i="2"/>
  <c r="D809" i="2"/>
  <c r="C809" i="2"/>
  <c r="B809" i="2"/>
  <c r="B804" i="2"/>
  <c r="H795" i="2"/>
  <c r="G795" i="2"/>
  <c r="F795" i="2"/>
  <c r="E795" i="2"/>
  <c r="D795" i="2"/>
  <c r="C795" i="2"/>
  <c r="B795" i="2"/>
  <c r="B790" i="2"/>
  <c r="H781" i="2"/>
  <c r="G781" i="2"/>
  <c r="F781" i="2"/>
  <c r="E781" i="2"/>
  <c r="D781" i="2"/>
  <c r="C781" i="2"/>
  <c r="B781" i="2"/>
  <c r="A39" i="1"/>
  <c r="A38" i="1"/>
  <c r="A37" i="1"/>
  <c r="B762" i="2"/>
  <c r="H753" i="2"/>
  <c r="G753" i="2"/>
  <c r="F753" i="2"/>
  <c r="E753" i="2"/>
  <c r="D753" i="2"/>
  <c r="C753" i="2"/>
  <c r="B753" i="2"/>
  <c r="H739" i="2"/>
  <c r="G739" i="2"/>
  <c r="F739" i="2"/>
  <c r="E739" i="2"/>
  <c r="D739" i="2"/>
  <c r="C739" i="2"/>
  <c r="B739" i="2"/>
  <c r="B734" i="2"/>
  <c r="H725" i="2"/>
  <c r="G725" i="2"/>
  <c r="F725" i="2"/>
  <c r="E725" i="2"/>
  <c r="D725" i="2"/>
  <c r="C725" i="2"/>
  <c r="B725" i="2"/>
  <c r="B706" i="2"/>
  <c r="H697" i="2"/>
  <c r="G697" i="2"/>
  <c r="F697" i="2"/>
  <c r="E697" i="2"/>
  <c r="D697" i="2"/>
  <c r="C697" i="2"/>
  <c r="B697" i="2"/>
  <c r="A36" i="1"/>
  <c r="B692" i="2"/>
  <c r="B678" i="2"/>
  <c r="B650" i="2"/>
  <c r="B636" i="2"/>
  <c r="B593" i="2"/>
  <c r="B622" i="2"/>
  <c r="B621" i="2"/>
  <c r="A32" i="1"/>
  <c r="H598" i="2"/>
  <c r="G598" i="2"/>
  <c r="F598" i="2"/>
  <c r="E598" i="2"/>
  <c r="D598" i="2"/>
  <c r="C598" i="2"/>
  <c r="B598" i="2"/>
  <c r="H584" i="2"/>
  <c r="G584" i="2"/>
  <c r="F584" i="2"/>
  <c r="E584" i="2"/>
  <c r="D584" i="2"/>
  <c r="C584" i="2"/>
  <c r="B584" i="2"/>
  <c r="B579" i="2"/>
  <c r="B548" i="2"/>
  <c r="B565" i="2"/>
  <c r="A30" i="1"/>
  <c r="H539" i="2"/>
  <c r="G539" i="2"/>
  <c r="F539" i="2"/>
  <c r="E539" i="2"/>
  <c r="D539" i="2"/>
  <c r="C539" i="2"/>
  <c r="B539" i="2"/>
  <c r="B534" i="2"/>
  <c r="A29" i="1"/>
  <c r="B479" i="2"/>
  <c r="H470" i="2"/>
  <c r="G470" i="2"/>
  <c r="F470" i="2"/>
  <c r="E470" i="2"/>
  <c r="D470" i="2"/>
  <c r="C470" i="2"/>
  <c r="B470" i="2"/>
  <c r="B462" i="2"/>
  <c r="B465" i="2"/>
  <c r="H456" i="2"/>
  <c r="G456" i="2"/>
  <c r="F456" i="2"/>
  <c r="E456" i="2"/>
  <c r="D456" i="2"/>
  <c r="C456" i="2"/>
  <c r="B456" i="2"/>
  <c r="A28" i="1"/>
  <c r="B451" i="2"/>
  <c r="H442" i="2"/>
  <c r="G442" i="2"/>
  <c r="F442" i="2"/>
  <c r="E442" i="2"/>
  <c r="D442" i="2"/>
  <c r="C442" i="2"/>
  <c r="B442" i="2"/>
  <c r="B437" i="2"/>
  <c r="H428" i="2"/>
  <c r="G428" i="2"/>
  <c r="F428" i="2"/>
  <c r="E428" i="2"/>
  <c r="D428" i="2"/>
  <c r="C428" i="2"/>
  <c r="B428" i="2"/>
  <c r="A27" i="1"/>
  <c r="B423" i="2"/>
  <c r="B414" i="2"/>
  <c r="C414" i="2"/>
  <c r="D414" i="2"/>
  <c r="E414" i="2"/>
  <c r="F414" i="2"/>
  <c r="G414" i="2"/>
  <c r="H414" i="2"/>
  <c r="B409" i="2"/>
  <c r="A26" i="1"/>
  <c r="A24" i="1"/>
  <c r="A25" i="1"/>
  <c r="B367" i="2"/>
  <c r="H358" i="2"/>
  <c r="G358" i="2"/>
  <c r="F358" i="2"/>
  <c r="E358" i="2"/>
  <c r="D358" i="2"/>
  <c r="C358" i="2"/>
  <c r="B358" i="2"/>
  <c r="O63" i="4" l="1"/>
  <c r="B1049" i="2"/>
  <c r="B1077" i="2" s="1"/>
  <c r="B590" i="2"/>
  <c r="C1157" i="2"/>
  <c r="C1166" i="2" s="1"/>
  <c r="N50" i="4"/>
  <c r="Q48" i="4" s="1"/>
  <c r="S48" i="4" s="1"/>
  <c r="N68" i="4"/>
  <c r="O62" i="4" s="1"/>
  <c r="N32" i="4"/>
  <c r="O30" i="4" s="1"/>
  <c r="N59" i="4"/>
  <c r="O54" i="4" s="1"/>
  <c r="N72" i="4" s="1"/>
  <c r="N81" i="4" s="1"/>
  <c r="N17" i="4" s="1"/>
  <c r="C1113" i="2"/>
  <c r="C1135" i="2"/>
  <c r="C1153" i="2"/>
  <c r="B1124" i="2"/>
  <c r="B1141" i="2"/>
  <c r="B1115" i="2"/>
  <c r="C1132" i="2"/>
  <c r="B1132" i="2"/>
  <c r="C1148" i="2"/>
  <c r="B1151" i="2"/>
  <c r="B1142" i="2"/>
  <c r="C1112" i="2"/>
  <c r="B1149" i="2"/>
  <c r="B1113" i="2"/>
  <c r="C1142" i="2"/>
  <c r="B1150" i="2"/>
  <c r="B1112" i="2"/>
  <c r="B1143" i="2"/>
  <c r="C1125" i="2"/>
  <c r="C1121" i="2"/>
  <c r="C1122" i="2"/>
  <c r="C1123" i="2"/>
  <c r="B1116" i="2"/>
  <c r="C1130" i="2"/>
  <c r="C1143" i="2"/>
  <c r="C1150" i="2"/>
  <c r="B1134" i="2"/>
  <c r="B1153" i="2"/>
  <c r="B1121" i="2"/>
  <c r="B1126" i="2"/>
  <c r="B1114" i="2"/>
  <c r="B1123" i="2"/>
  <c r="B1144" i="2"/>
  <c r="C1141" i="2"/>
  <c r="C1126" i="2"/>
  <c r="C1117" i="2"/>
  <c r="B1117" i="2"/>
  <c r="B1140" i="2"/>
  <c r="C1114" i="2"/>
  <c r="C1133" i="2"/>
  <c r="C1152" i="2"/>
  <c r="C1140" i="2"/>
  <c r="B1133" i="2"/>
  <c r="C1131" i="2"/>
  <c r="C1124" i="2"/>
  <c r="B1125" i="2"/>
  <c r="B1130" i="2"/>
  <c r="B1131" i="2"/>
  <c r="B1135" i="2"/>
  <c r="C1149" i="2"/>
  <c r="C1139" i="2"/>
  <c r="C1151" i="2"/>
  <c r="B1122" i="2"/>
  <c r="B1148" i="2"/>
  <c r="C1144" i="2"/>
  <c r="B1152" i="2"/>
  <c r="C1134" i="2"/>
  <c r="B1139" i="2"/>
  <c r="C1116" i="2"/>
  <c r="C1115" i="2"/>
  <c r="B1098" i="2"/>
  <c r="B1099" i="2"/>
  <c r="B1101" i="2"/>
  <c r="B1102" i="2"/>
  <c r="B1097" i="2"/>
  <c r="B1100" i="2"/>
  <c r="C1102" i="2"/>
  <c r="D1102" i="2" s="1"/>
  <c r="C1101" i="2"/>
  <c r="D1101" i="2" s="1"/>
  <c r="C1100" i="2"/>
  <c r="D1100" i="2" s="1"/>
  <c r="C1099" i="2"/>
  <c r="D1099" i="2" s="1"/>
  <c r="C1098" i="2"/>
  <c r="D1098" i="2" s="1"/>
  <c r="C1097" i="2"/>
  <c r="D1097" i="2" s="1"/>
  <c r="C1096" i="2"/>
  <c r="D1096" i="2" s="1"/>
  <c r="E32" i="1"/>
  <c r="A17" i="1"/>
  <c r="E4" i="3"/>
  <c r="C4" i="3"/>
  <c r="B1181" i="2" l="1"/>
  <c r="B1176" i="2"/>
  <c r="B1178" i="2"/>
  <c r="B1177" i="2"/>
  <c r="B1180" i="2"/>
  <c r="B1179" i="2"/>
  <c r="B1107" i="2"/>
  <c r="F1149" i="2" s="1"/>
  <c r="O53" i="4"/>
  <c r="O68" i="4"/>
  <c r="O55" i="4"/>
  <c r="O44" i="4"/>
  <c r="O47" i="4"/>
  <c r="O26" i="4"/>
  <c r="O46" i="4"/>
  <c r="N73" i="4" s="1"/>
  <c r="N82" i="4" s="1"/>
  <c r="N18" i="4" s="1"/>
  <c r="O31" i="4"/>
  <c r="N76" i="4" s="1"/>
  <c r="N85" i="4" s="1"/>
  <c r="N21" i="4" s="1"/>
  <c r="B615" i="2"/>
  <c r="B923" i="2" s="1"/>
  <c r="B909" i="2" s="1"/>
  <c r="Q44" i="4"/>
  <c r="S44" i="4" s="1"/>
  <c r="Q45" i="4"/>
  <c r="S45" i="4" s="1"/>
  <c r="Q47" i="4"/>
  <c r="S47" i="4" s="1"/>
  <c r="Q46" i="4"/>
  <c r="S46" i="4" s="1"/>
  <c r="Q49" i="4"/>
  <c r="S49" i="4" s="1"/>
  <c r="Q67" i="4"/>
  <c r="S67" i="4" s="1"/>
  <c r="Q66" i="4"/>
  <c r="S66" i="4" s="1"/>
  <c r="Q65" i="4"/>
  <c r="S65" i="4" s="1"/>
  <c r="Q64" i="4"/>
  <c r="S64" i="4" s="1"/>
  <c r="Q63" i="4"/>
  <c r="S63" i="4" s="1"/>
  <c r="Q62" i="4"/>
  <c r="S62" i="4" s="1"/>
  <c r="Q26" i="4"/>
  <c r="S26" i="4" s="1"/>
  <c r="Q31" i="4"/>
  <c r="S31" i="4" s="1"/>
  <c r="Q30" i="4"/>
  <c r="S30" i="4" s="1"/>
  <c r="Q29" i="4"/>
  <c r="S29" i="4" s="1"/>
  <c r="Q28" i="4"/>
  <c r="S28" i="4" s="1"/>
  <c r="Q27" i="4"/>
  <c r="S27" i="4" s="1"/>
  <c r="Q54" i="4"/>
  <c r="S54" i="4" s="1"/>
  <c r="Q58" i="4"/>
  <c r="S58" i="4" s="1"/>
  <c r="Q57" i="4"/>
  <c r="S57" i="4" s="1"/>
  <c r="Q56" i="4"/>
  <c r="S56" i="4" s="1"/>
  <c r="Q53" i="4"/>
  <c r="S53" i="4" s="1"/>
  <c r="Q55" i="4"/>
  <c r="S55" i="4" s="1"/>
  <c r="D1149" i="2"/>
  <c r="D1113" i="2"/>
  <c r="D1125" i="2"/>
  <c r="D1139" i="2"/>
  <c r="D1117" i="2"/>
  <c r="D1130" i="2"/>
  <c r="D1132" i="2"/>
  <c r="E1132" i="2"/>
  <c r="D1140" i="2"/>
  <c r="E1140" i="2"/>
  <c r="D1133" i="2"/>
  <c r="E1114" i="2"/>
  <c r="D1114" i="2"/>
  <c r="E1113" i="2"/>
  <c r="D1112" i="2"/>
  <c r="D1141" i="2"/>
  <c r="D1123" i="2"/>
  <c r="E1123" i="2"/>
  <c r="D1116" i="2"/>
  <c r="E1116" i="2"/>
  <c r="E1124" i="2"/>
  <c r="D1124" i="2"/>
  <c r="E1122" i="2"/>
  <c r="D1122" i="2"/>
  <c r="D1148" i="2"/>
  <c r="D1115" i="2"/>
  <c r="E1115" i="2"/>
  <c r="D1131" i="2"/>
  <c r="E1131" i="2"/>
  <c r="D1121" i="2"/>
  <c r="B1088" i="2"/>
  <c r="B1035" i="2" s="1"/>
  <c r="E50" i="1"/>
  <c r="E1097" i="2"/>
  <c r="B1157" i="2" s="1"/>
  <c r="B1166" i="2" s="1"/>
  <c r="E1098" i="2"/>
  <c r="B1158" i="2" s="1"/>
  <c r="B1167" i="2" s="1"/>
  <c r="E1102" i="2"/>
  <c r="B1162" i="2" s="1"/>
  <c r="B1171" i="2" s="1"/>
  <c r="E1101" i="2"/>
  <c r="B1161" i="2" s="1"/>
  <c r="B1170" i="2" s="1"/>
  <c r="E1100" i="2"/>
  <c r="B1160" i="2" s="1"/>
  <c r="B1169" i="2" s="1"/>
  <c r="E1099" i="2"/>
  <c r="B1159" i="2" s="1"/>
  <c r="B1168" i="2" s="1"/>
  <c r="F1130" i="2" l="1"/>
  <c r="F1139" i="2"/>
  <c r="F1131" i="2"/>
  <c r="G1131" i="2" s="1"/>
  <c r="F1148" i="2"/>
  <c r="G1149" i="2" s="1"/>
  <c r="F1113" i="2"/>
  <c r="G1113" i="2" s="1"/>
  <c r="F1121" i="2"/>
  <c r="F1115" i="2"/>
  <c r="G1115" i="2" s="1"/>
  <c r="F1114" i="2"/>
  <c r="G1114" i="2" s="1"/>
  <c r="F1140" i="2"/>
  <c r="F1122" i="2"/>
  <c r="G1122" i="2" s="1"/>
  <c r="F1124" i="2"/>
  <c r="F1116" i="2"/>
  <c r="F1112" i="2"/>
  <c r="F1123" i="2"/>
  <c r="G1123" i="2" s="1"/>
  <c r="O59" i="4"/>
  <c r="O32" i="4"/>
  <c r="O50" i="4"/>
  <c r="F1132" i="2"/>
  <c r="A44" i="1"/>
  <c r="S50" i="4"/>
  <c r="C1158" i="2"/>
  <c r="C1167" i="2" s="1"/>
  <c r="S68" i="4"/>
  <c r="S59" i="4"/>
  <c r="S32" i="4"/>
  <c r="L74" i="4"/>
  <c r="L83" i="4" s="1"/>
  <c r="L19" i="4" s="1"/>
  <c r="L72" i="4"/>
  <c r="L81" i="4" s="1"/>
  <c r="L17" i="4" s="1"/>
  <c r="L73" i="4"/>
  <c r="L82" i="4" s="1"/>
  <c r="L18" i="4" s="1"/>
  <c r="L71" i="4"/>
  <c r="L80" i="4" s="1"/>
  <c r="L16" i="4" s="1"/>
  <c r="L75" i="4"/>
  <c r="L84" i="4" s="1"/>
  <c r="L20" i="4" s="1"/>
  <c r="L76" i="4"/>
  <c r="L85" i="4" s="1"/>
  <c r="L21" i="4" s="1"/>
  <c r="E1125" i="2"/>
  <c r="F1125" i="2" s="1"/>
  <c r="E1117" i="2"/>
  <c r="E1141" i="2"/>
  <c r="E1133" i="2"/>
  <c r="F1133" i="2" s="1"/>
  <c r="B381" i="2"/>
  <c r="H372" i="2"/>
  <c r="G372" i="2"/>
  <c r="F372" i="2"/>
  <c r="E372" i="2"/>
  <c r="D372" i="2"/>
  <c r="C372" i="2"/>
  <c r="B372" i="2"/>
  <c r="B353" i="2"/>
  <c r="H344" i="2"/>
  <c r="G344" i="2"/>
  <c r="F344" i="2"/>
  <c r="E344" i="2"/>
  <c r="D344" i="2"/>
  <c r="C344" i="2"/>
  <c r="B344" i="2"/>
  <c r="B73" i="2"/>
  <c r="H64" i="2"/>
  <c r="G64" i="2"/>
  <c r="F64" i="2"/>
  <c r="D64" i="2"/>
  <c r="C64" i="2"/>
  <c r="B64" i="2"/>
  <c r="G1148" i="2" l="1"/>
  <c r="G1154" i="2" s="1"/>
  <c r="F1117" i="2"/>
  <c r="C1161" i="2"/>
  <c r="C1170" i="2" s="1"/>
  <c r="F1127" i="2"/>
  <c r="E1145" i="2"/>
  <c r="F1141" i="2"/>
  <c r="C50" i="1"/>
  <c r="C1177" i="2"/>
  <c r="C1176" i="2"/>
  <c r="A45" i="1"/>
  <c r="C1159" i="2"/>
  <c r="C1168" i="2" s="1"/>
  <c r="E1118" i="2"/>
  <c r="C1162" i="2"/>
  <c r="C1171" i="2" s="1"/>
  <c r="E1136" i="2"/>
  <c r="C1160" i="2"/>
  <c r="E1127" i="2"/>
  <c r="F1118" i="2" l="1"/>
  <c r="G1116" i="2" s="1"/>
  <c r="G1125" i="2"/>
  <c r="C1180" i="2"/>
  <c r="F1145" i="2"/>
  <c r="G1140" i="2" s="1"/>
  <c r="C1178" i="2"/>
  <c r="C1181" i="2"/>
  <c r="C1169" i="2"/>
  <c r="F1136" i="2"/>
  <c r="C1163" i="2"/>
  <c r="C54" i="1"/>
  <c r="M5" i="4" s="1"/>
  <c r="A52" i="1"/>
  <c r="B283" i="2"/>
  <c r="H274" i="2"/>
  <c r="G274" i="2"/>
  <c r="F274" i="2"/>
  <c r="E274" i="2"/>
  <c r="D274" i="2"/>
  <c r="C274" i="2"/>
  <c r="B274" i="2"/>
  <c r="G1130" i="2" l="1"/>
  <c r="G1132" i="2"/>
  <c r="G1141" i="2"/>
  <c r="G1133" i="2"/>
  <c r="G1124" i="2"/>
  <c r="D1160" i="2" s="1"/>
  <c r="G1121" i="2"/>
  <c r="G1139" i="2"/>
  <c r="C1172" i="2"/>
  <c r="C1179" i="2"/>
  <c r="C55" i="1"/>
  <c r="M6" i="4" s="1"/>
  <c r="B56" i="1"/>
  <c r="L7" i="4" s="1"/>
  <c r="B57" i="1"/>
  <c r="L8" i="4" s="1"/>
  <c r="B55" i="1"/>
  <c r="L6" i="4" s="1"/>
  <c r="B58" i="1"/>
  <c r="L9" i="4" s="1"/>
  <c r="B54" i="1"/>
  <c r="L5" i="4" s="1"/>
  <c r="B59" i="1"/>
  <c r="L10" i="4" s="1"/>
  <c r="D1159" i="2" l="1"/>
  <c r="D1168" i="2" s="1"/>
  <c r="D1178" i="2" s="1"/>
  <c r="G1145" i="2"/>
  <c r="H1145" i="2" s="1"/>
  <c r="G1127" i="2"/>
  <c r="H1127" i="2" s="1"/>
  <c r="G1136" i="2"/>
  <c r="H1136" i="2" s="1"/>
  <c r="D1169" i="2"/>
  <c r="D1179" i="2" s="1"/>
  <c r="D1158" i="2"/>
  <c r="D1167" i="2" s="1"/>
  <c r="D1177" i="2" s="1"/>
  <c r="B776" i="2"/>
  <c r="H767" i="2"/>
  <c r="G767" i="2"/>
  <c r="F767" i="2"/>
  <c r="E767" i="2"/>
  <c r="D767" i="2"/>
  <c r="C767" i="2"/>
  <c r="B767" i="2"/>
  <c r="H711" i="2"/>
  <c r="G711" i="2"/>
  <c r="F711" i="2"/>
  <c r="E711" i="2"/>
  <c r="D711" i="2"/>
  <c r="C711" i="2"/>
  <c r="B711" i="2"/>
  <c r="H683" i="2"/>
  <c r="G683" i="2"/>
  <c r="F683" i="2"/>
  <c r="E683" i="2"/>
  <c r="D683" i="2"/>
  <c r="C683" i="2"/>
  <c r="B683" i="2"/>
  <c r="H669" i="2"/>
  <c r="G669" i="2"/>
  <c r="F669" i="2"/>
  <c r="E669" i="2"/>
  <c r="D669" i="2"/>
  <c r="C669" i="2"/>
  <c r="B669" i="2"/>
  <c r="H641" i="2"/>
  <c r="G641" i="2"/>
  <c r="F641" i="2"/>
  <c r="E641" i="2"/>
  <c r="D641" i="2"/>
  <c r="C641" i="2"/>
  <c r="B641" i="2"/>
  <c r="B255" i="2" l="1"/>
  <c r="B241" i="2"/>
  <c r="B227" i="2"/>
  <c r="B213" i="2"/>
  <c r="B199" i="2"/>
  <c r="B185" i="2"/>
  <c r="B171" i="2"/>
  <c r="B157" i="2"/>
  <c r="B143" i="2"/>
  <c r="B129" i="2"/>
  <c r="B115" i="2"/>
  <c r="B101" i="2"/>
  <c r="B87" i="2"/>
  <c r="B42" i="2"/>
  <c r="B14" i="2"/>
  <c r="B395" i="2"/>
  <c r="B339" i="2"/>
  <c r="B325" i="2"/>
  <c r="B311" i="2"/>
  <c r="B297" i="2"/>
  <c r="H627" i="2"/>
  <c r="G627" i="2"/>
  <c r="F627" i="2"/>
  <c r="E627" i="2"/>
  <c r="D627" i="2"/>
  <c r="C627" i="2"/>
  <c r="B627" i="2"/>
  <c r="H612" i="2"/>
  <c r="G612" i="2"/>
  <c r="F612" i="2"/>
  <c r="E612" i="2"/>
  <c r="D612" i="2"/>
  <c r="C612" i="2"/>
  <c r="B612" i="2"/>
  <c r="H570" i="2"/>
  <c r="G570" i="2"/>
  <c r="F570" i="2"/>
  <c r="E570" i="2"/>
  <c r="D570" i="2"/>
  <c r="C570" i="2"/>
  <c r="B570" i="2"/>
  <c r="H553" i="2"/>
  <c r="G553" i="2"/>
  <c r="F553" i="2"/>
  <c r="E553" i="2"/>
  <c r="D553" i="2"/>
  <c r="C553" i="2"/>
  <c r="B553" i="2"/>
  <c r="H484" i="2"/>
  <c r="G484" i="2"/>
  <c r="F484" i="2"/>
  <c r="E484" i="2"/>
  <c r="D484" i="2"/>
  <c r="C484" i="2"/>
  <c r="B484" i="2"/>
  <c r="H400" i="2"/>
  <c r="G400" i="2"/>
  <c r="F400" i="2"/>
  <c r="E400" i="2"/>
  <c r="D400" i="2"/>
  <c r="C400" i="2"/>
  <c r="B400" i="2"/>
  <c r="H386" i="2"/>
  <c r="G386" i="2"/>
  <c r="F386" i="2"/>
  <c r="E386" i="2"/>
  <c r="D386" i="2"/>
  <c r="C386" i="2"/>
  <c r="B386" i="2"/>
  <c r="H330" i="2"/>
  <c r="G330" i="2"/>
  <c r="F330" i="2"/>
  <c r="E330" i="2"/>
  <c r="D330" i="2"/>
  <c r="C330" i="2"/>
  <c r="B330" i="2"/>
  <c r="H316" i="2"/>
  <c r="G316" i="2"/>
  <c r="F316" i="2"/>
  <c r="E316" i="2"/>
  <c r="D316" i="2"/>
  <c r="C316" i="2"/>
  <c r="B316" i="2"/>
  <c r="H302" i="2"/>
  <c r="G302" i="2"/>
  <c r="F302" i="2"/>
  <c r="E302" i="2"/>
  <c r="D302" i="2"/>
  <c r="C302" i="2"/>
  <c r="B302" i="2"/>
  <c r="H288" i="2"/>
  <c r="G288" i="2"/>
  <c r="F288" i="2"/>
  <c r="E288" i="2"/>
  <c r="D288" i="2"/>
  <c r="C288" i="2"/>
  <c r="B288" i="2"/>
  <c r="H246" i="2"/>
  <c r="G246" i="2"/>
  <c r="F246" i="2"/>
  <c r="E246" i="2"/>
  <c r="D246" i="2"/>
  <c r="C246" i="2"/>
  <c r="B246" i="2"/>
  <c r="H232" i="2"/>
  <c r="G232" i="2"/>
  <c r="F232" i="2"/>
  <c r="E232" i="2"/>
  <c r="D232" i="2"/>
  <c r="C232" i="2"/>
  <c r="B232" i="2"/>
  <c r="H218" i="2"/>
  <c r="G218" i="2"/>
  <c r="F218" i="2"/>
  <c r="E218" i="2"/>
  <c r="D218" i="2"/>
  <c r="C218" i="2"/>
  <c r="B218" i="2"/>
  <c r="H204" i="2"/>
  <c r="G204" i="2"/>
  <c r="F204" i="2"/>
  <c r="E204" i="2"/>
  <c r="D204" i="2"/>
  <c r="C204" i="2"/>
  <c r="B204" i="2"/>
  <c r="H190" i="2"/>
  <c r="G190" i="2"/>
  <c r="F190" i="2"/>
  <c r="E190" i="2"/>
  <c r="D190" i="2"/>
  <c r="C190" i="2"/>
  <c r="B190" i="2"/>
  <c r="H176" i="2"/>
  <c r="G176" i="2"/>
  <c r="F176" i="2"/>
  <c r="E176" i="2"/>
  <c r="D176" i="2"/>
  <c r="C176" i="2"/>
  <c r="B176" i="2"/>
  <c r="H162" i="2"/>
  <c r="G162" i="2"/>
  <c r="F162" i="2"/>
  <c r="E162" i="2"/>
  <c r="D162" i="2"/>
  <c r="C162" i="2"/>
  <c r="B162" i="2"/>
  <c r="H148" i="2"/>
  <c r="G148" i="2"/>
  <c r="F148" i="2"/>
  <c r="E148" i="2"/>
  <c r="D148" i="2"/>
  <c r="C148" i="2"/>
  <c r="B148" i="2"/>
  <c r="H134" i="2"/>
  <c r="G134" i="2"/>
  <c r="F134" i="2"/>
  <c r="E134" i="2"/>
  <c r="D134" i="2"/>
  <c r="C134" i="2"/>
  <c r="B134" i="2"/>
  <c r="H120" i="2"/>
  <c r="G120" i="2"/>
  <c r="F120" i="2"/>
  <c r="E120" i="2"/>
  <c r="D120" i="2"/>
  <c r="C120" i="2"/>
  <c r="B120" i="2"/>
  <c r="H106" i="2"/>
  <c r="G106" i="2"/>
  <c r="F106" i="2"/>
  <c r="E106" i="2"/>
  <c r="D106" i="2"/>
  <c r="C106" i="2"/>
  <c r="B106" i="2"/>
  <c r="H92" i="2"/>
  <c r="G92" i="2"/>
  <c r="F92" i="2"/>
  <c r="E92" i="2"/>
  <c r="D92" i="2"/>
  <c r="C92" i="2"/>
  <c r="B92" i="2"/>
  <c r="H78" i="2"/>
  <c r="G78" i="2"/>
  <c r="F78" i="2"/>
  <c r="E78" i="2"/>
  <c r="D78" i="2"/>
  <c r="C78" i="2"/>
  <c r="B78" i="2"/>
  <c r="H33" i="2"/>
  <c r="G33" i="2"/>
  <c r="F33" i="2"/>
  <c r="E33" i="2"/>
  <c r="D33" i="2"/>
  <c r="C33" i="2"/>
  <c r="B33" i="2"/>
  <c r="D55" i="1" l="1"/>
  <c r="N6" i="4" s="1"/>
  <c r="C56" i="1" l="1"/>
  <c r="M7" i="4" s="1"/>
  <c r="D56" i="1" l="1"/>
  <c r="N7" i="4" s="1"/>
  <c r="C57" i="1" l="1"/>
  <c r="M8" i="4" s="1"/>
  <c r="D57" i="1" l="1"/>
  <c r="N8" i="4" s="1"/>
  <c r="C58" i="1" l="1"/>
  <c r="M9" i="4" s="1"/>
  <c r="C59" i="1" l="1"/>
  <c r="M10" i="4" s="1"/>
  <c r="M11" i="4" s="1"/>
  <c r="C1182" i="2"/>
  <c r="F1154" i="2" l="1"/>
  <c r="H1154" i="2" s="1"/>
  <c r="E1154" i="2"/>
  <c r="M41" i="4"/>
  <c r="N41" i="4" l="1"/>
  <c r="O39" i="4" s="1"/>
  <c r="O35" i="4" l="1"/>
  <c r="N71" i="4" s="1"/>
  <c r="O38" i="4"/>
  <c r="N74" i="4" s="1"/>
  <c r="N83" i="4" s="1"/>
  <c r="N19" i="4" s="1"/>
  <c r="N75" i="4"/>
  <c r="N84" i="4" s="1"/>
  <c r="N20" i="4" s="1"/>
  <c r="Q40" i="4"/>
  <c r="S40" i="4" s="1"/>
  <c r="Q39" i="4"/>
  <c r="S39" i="4" s="1"/>
  <c r="Q38" i="4"/>
  <c r="S38" i="4" s="1"/>
  <c r="Q37" i="4"/>
  <c r="S37" i="4" s="1"/>
  <c r="Q36" i="4"/>
  <c r="S36" i="4" s="1"/>
  <c r="Q35" i="4"/>
  <c r="S35" i="4" s="1"/>
  <c r="N77" i="4" l="1"/>
  <c r="N86" i="4" s="1"/>
  <c r="N80" i="4"/>
  <c r="N16" i="4" s="1"/>
  <c r="N22" i="4" s="1"/>
  <c r="O41" i="4"/>
  <c r="S41" i="4"/>
  <c r="D1161" i="2" l="1"/>
  <c r="D1170" i="2" s="1"/>
  <c r="D1180" i="2" s="1"/>
  <c r="D58" i="1" s="1"/>
  <c r="N9" i="4" s="1"/>
  <c r="G1117" i="2" l="1"/>
  <c r="D1162" i="2" s="1"/>
  <c r="D1171" i="2" s="1"/>
  <c r="D1181" i="2" s="1"/>
  <c r="D59" i="1" s="1"/>
  <c r="N10" i="4" s="1"/>
  <c r="G1112" i="2"/>
  <c r="G1118" i="2" l="1"/>
  <c r="H1118" i="2" s="1"/>
  <c r="D1157" i="2"/>
  <c r="D1166" i="2" l="1"/>
  <c r="D1176" i="2" s="1"/>
  <c r="D1163" i="2"/>
  <c r="D1172" i="2" s="1"/>
  <c r="D54" i="1" l="1"/>
  <c r="N5" i="4" s="1"/>
  <c r="D1182" i="2"/>
  <c r="D60" i="1" s="1"/>
  <c r="N11" i="4" s="1"/>
</calcChain>
</file>

<file path=xl/sharedStrings.xml><?xml version="1.0" encoding="utf-8"?>
<sst xmlns="http://schemas.openxmlformats.org/spreadsheetml/2006/main" count="3459" uniqueCount="538">
  <si>
    <t xml:space="preserve">Rental property deductible borrowing expenses calculator - Cell Coordinates - Whole calculator: A1:E63, Introduction: A5:E19, Entry: A20:E43, Guidance: A44:E45, Results: A46:E64 </t>
  </si>
  <si>
    <t>Australian Taxation Office logo</t>
  </si>
  <si>
    <t>• Things to know</t>
  </si>
  <si>
    <t>• Enter your information</t>
  </si>
  <si>
    <t>• Information entry guidance</t>
  </si>
  <si>
    <t>• Result</t>
  </si>
  <si>
    <r>
      <t xml:space="preserve">• </t>
    </r>
    <r>
      <rPr>
        <b/>
        <sz val="11"/>
        <rFont val="Arial"/>
        <family val="2"/>
      </rPr>
      <t xml:space="preserve">Are your rental property borrowing expenses $100 or less? </t>
    </r>
    <r>
      <rPr>
        <sz val="11"/>
        <rFont val="Arial"/>
        <family val="2"/>
      </rPr>
      <t xml:space="preserve">Claim the amount in full in the first income year you include rental income and expenses in your tax return. You </t>
    </r>
    <r>
      <rPr>
        <b/>
        <sz val="11"/>
        <rFont val="Arial"/>
        <family val="2"/>
      </rPr>
      <t>don’t</t>
    </r>
    <r>
      <rPr>
        <sz val="11"/>
        <rFont val="Arial"/>
        <family val="2"/>
      </rPr>
      <t xml:space="preserve"> need to use this calculator.</t>
    </r>
  </si>
  <si>
    <r>
      <t>•</t>
    </r>
    <r>
      <rPr>
        <b/>
        <sz val="11"/>
        <rFont val="Arial"/>
        <family val="2"/>
      </rPr>
      <t xml:space="preserve"> Are your rental property borrowing expenses more than $100? </t>
    </r>
    <r>
      <rPr>
        <sz val="11"/>
        <rFont val="Arial"/>
        <family val="2"/>
      </rPr>
      <t>Use this calculator to apportion your expenses over 5 years or the period of the loan, whichever is lower.</t>
    </r>
  </si>
  <si>
    <r>
      <t xml:space="preserve">Note: </t>
    </r>
    <r>
      <rPr>
        <sz val="11"/>
        <color theme="1"/>
        <rFont val="Arial"/>
        <family val="2"/>
      </rPr>
      <t>The results of the calculator are based on the information you provide at the time of calculation. You should use these results as an estimate and for guidance purposes only.</t>
    </r>
  </si>
  <si>
    <r>
      <t xml:space="preserve">• All fields marked with an asterix (*) </t>
    </r>
    <r>
      <rPr>
        <b/>
        <sz val="11"/>
        <rFont val="Arial"/>
        <family val="2"/>
      </rPr>
      <t>must</t>
    </r>
    <r>
      <rPr>
        <sz val="11"/>
        <rFont val="Arial"/>
        <family val="2"/>
      </rPr>
      <t xml:space="preserve"> be completed or we can't work out your deduction.</t>
    </r>
  </si>
  <si>
    <r>
      <t xml:space="preserve">• Check the </t>
    </r>
    <r>
      <rPr>
        <b/>
        <sz val="11"/>
        <rFont val="Arial"/>
        <family val="2"/>
      </rPr>
      <t>Information entry guidance</t>
    </r>
    <r>
      <rPr>
        <sz val="11"/>
        <rFont val="Arial"/>
        <family val="2"/>
      </rPr>
      <t xml:space="preserve"> section below for help.</t>
    </r>
  </si>
  <si>
    <t>- Select -</t>
  </si>
  <si>
    <r>
      <t xml:space="preserve">Value
</t>
    </r>
    <r>
      <rPr>
        <sz val="11"/>
        <rFont val="Arial"/>
        <family val="2"/>
      </rPr>
      <t>($ and cents)</t>
    </r>
  </si>
  <si>
    <t>You can only claim expenses you incur for borrowing money for the purpose of producing assessable rental income.
You must apportion your yearly borrowing expenses where you:
• don’t rent the property for part of the year
• only rent out part of your property
• use the property or kept it vacant for yourself
• rent the property at below market rates.</t>
  </si>
  <si>
    <t>End of calculator</t>
  </si>
  <si>
    <r>
      <t xml:space="preserve">Version Control &amp; About this workbook </t>
    </r>
    <r>
      <rPr>
        <sz val="11"/>
        <color rgb="FF3844CA"/>
        <rFont val="Arial"/>
        <family val="2"/>
      </rPr>
      <t>(Hidden from users)</t>
    </r>
  </si>
  <si>
    <t>Version control</t>
  </si>
  <si>
    <t>Current version no</t>
  </si>
  <si>
    <t>Date</t>
  </si>
  <si>
    <t>Product Manager/s</t>
  </si>
  <si>
    <t>JT</t>
  </si>
  <si>
    <t>SC</t>
  </si>
  <si>
    <t>Acceptance</t>
  </si>
  <si>
    <t>Technical Clearance</t>
  </si>
  <si>
    <t>Name</t>
  </si>
  <si>
    <t>Position</t>
  </si>
  <si>
    <t>Version accepted</t>
  </si>
  <si>
    <t>KH</t>
  </si>
  <si>
    <t>Law Interpretation Officer, Technical Clearances, TLA IAI</t>
  </si>
  <si>
    <t>Product owner approval</t>
  </si>
  <si>
    <t>Assistant Director, Online Products</t>
  </si>
  <si>
    <t>Version Control</t>
  </si>
  <si>
    <t>Version</t>
  </si>
  <si>
    <t>Revision Date</t>
  </si>
  <si>
    <t>Author</t>
  </si>
  <si>
    <t>Summary of change</t>
  </si>
  <si>
    <t>Initial build of calculator</t>
  </si>
  <si>
    <t>Adjustments as a result of feedback from TLA</t>
  </si>
  <si>
    <t>Baseline of new calculator</t>
  </si>
  <si>
    <t>Corporate branding and editiorial updates</t>
  </si>
  <si>
    <t>VB</t>
  </si>
  <si>
    <t>Update to add 2025-26 yr &amp; included feedback from IND Web content management &amp; Content experience</t>
  </si>
  <si>
    <t>Updated link and formatting  from Web content feedback</t>
  </si>
  <si>
    <t>About this workbook</t>
  </si>
  <si>
    <t>Sheet</t>
  </si>
  <si>
    <t>Element</t>
  </si>
  <si>
    <t>Purpose</t>
  </si>
  <si>
    <t>Primary Audience</t>
  </si>
  <si>
    <t>Deductible borrowing expenses calculator</t>
  </si>
  <si>
    <t>Background</t>
  </si>
  <si>
    <t>UX - Explain worksheet purpose and provide background</t>
  </si>
  <si>
    <t>Users</t>
  </si>
  <si>
    <t>Enter your information</t>
  </si>
  <si>
    <t>Prompts and enables data entry to enable calculation</t>
  </si>
  <si>
    <t>Information entry guidance</t>
  </si>
  <si>
    <t>Provides guidance on data entry</t>
  </si>
  <si>
    <t>Result</t>
  </si>
  <si>
    <t>Provide and explain result</t>
  </si>
  <si>
    <t>Version Control and About</t>
  </si>
  <si>
    <t>Track version, clearance and approval</t>
  </si>
  <si>
    <t>ATO staff
(Hidden from users)</t>
  </si>
  <si>
    <t>Provide overview and understanding of workbook elements</t>
  </si>
  <si>
    <t>Reference module</t>
  </si>
  <si>
    <t>Reference table to store commonly used references</t>
  </si>
  <si>
    <t>Manage background calculation and presentation</t>
  </si>
  <si>
    <t>Testing module</t>
  </si>
  <si>
    <t>Test table</t>
  </si>
  <si>
    <t>Aid testing, validation and clearance</t>
  </si>
  <si>
    <t>Handy links</t>
  </si>
  <si>
    <t>myTax 2024 Rent</t>
  </si>
  <si>
    <t>Q21 Rent 2024</t>
  </si>
  <si>
    <r>
      <t xml:space="preserve">Reference Module </t>
    </r>
    <r>
      <rPr>
        <sz val="11"/>
        <color rgb="FF3844CA"/>
        <rFont val="Arial"/>
        <family val="2"/>
      </rPr>
      <t>(Hidden from users)</t>
    </r>
  </si>
  <si>
    <t>Filter</t>
  </si>
  <si>
    <t>Comments</t>
  </si>
  <si>
    <t>Style Format look-up table</t>
  </si>
  <si>
    <t>Style</t>
  </si>
  <si>
    <t>Font</t>
  </si>
  <si>
    <t>T-face</t>
  </si>
  <si>
    <t>Font size</t>
  </si>
  <si>
    <t>Row height</t>
  </si>
  <si>
    <t>Text col</t>
  </si>
  <si>
    <t>BG col</t>
  </si>
  <si>
    <t>Just</t>
  </si>
  <si>
    <t>Cell A1</t>
  </si>
  <si>
    <t>UX section co-ordinates</t>
  </si>
  <si>
    <t>N/A</t>
  </si>
  <si>
    <t>ATO Logo</t>
  </si>
  <si>
    <t>Type:</t>
  </si>
  <si>
    <t>Hidden text for VI users</t>
  </si>
  <si>
    <t>Calculated value</t>
  </si>
  <si>
    <t>Arial</t>
  </si>
  <si>
    <t>Dependant</t>
  </si>
  <si>
    <t>Black</t>
  </si>
  <si>
    <t>White</t>
  </si>
  <si>
    <t>Left</t>
  </si>
  <si>
    <t xml:space="preserve">Data entry </t>
  </si>
  <si>
    <t>Normal</t>
  </si>
  <si>
    <t>Light grey</t>
  </si>
  <si>
    <t>Right</t>
  </si>
  <si>
    <t>Label:</t>
  </si>
  <si>
    <t>Deductible borrowing expenses calculator - Cell Coordinates</t>
  </si>
  <si>
    <t>Ariel</t>
  </si>
  <si>
    <t>Value:</t>
  </si>
  <si>
    <t>Detailed calculation</t>
  </si>
  <si>
    <t>Length:</t>
  </si>
  <si>
    <t xml:space="preserve">Limited to the capacity of a single row of merged cells. </t>
  </si>
  <si>
    <r>
      <t xml:space="preserve">Fixed free form text in the format of: [element: upper left cell limit: lower right cell limit,].
</t>
    </r>
    <r>
      <rPr>
        <i/>
        <sz val="11"/>
        <color theme="1"/>
        <rFont val="Arial"/>
        <family val="2"/>
      </rPr>
      <t>[Example:</t>
    </r>
    <r>
      <rPr>
        <sz val="11"/>
        <color theme="1"/>
        <rFont val="Arial"/>
        <family val="2"/>
      </rPr>
      <t xml:space="preserve"> Worksheet: A2:B39, Introduction: A2:B17,] </t>
    </r>
  </si>
  <si>
    <t>Hyperlink</t>
  </si>
  <si>
    <t>Underlined</t>
  </si>
  <si>
    <t>Blue</t>
  </si>
  <si>
    <t>ParamMin:</t>
  </si>
  <si>
    <t>Paragraph leader</t>
  </si>
  <si>
    <t>ParamMax</t>
  </si>
  <si>
    <t>Paragraph leader - 2 rows</t>
  </si>
  <si>
    <t>Bold</t>
  </si>
  <si>
    <t>Error</t>
  </si>
  <si>
    <t>Paragraph leader - highlighted</t>
  </si>
  <si>
    <t>Calc</t>
  </si>
  <si>
    <t>Regular text</t>
  </si>
  <si>
    <t>User access when protected?</t>
  </si>
  <si>
    <t>Regular text - 2 rows</t>
  </si>
  <si>
    <t>Notes:</t>
  </si>
  <si>
    <t xml:space="preserve">Contains the cell coordinates of the UX worksheet and sections to allow VI users to readily locate the required elements of the worksheet. </t>
  </si>
  <si>
    <t>Regular text - 3 rows</t>
  </si>
  <si>
    <t>Regular text - in table - 1 row</t>
  </si>
  <si>
    <t>Cell A2</t>
  </si>
  <si>
    <t>Regular text - in table - 2 rows</t>
  </si>
  <si>
    <t>Regular text - in table - 3 rows</t>
  </si>
  <si>
    <t>Regular text - in table - 4 rows</t>
  </si>
  <si>
    <t>Space for ATO logo</t>
  </si>
  <si>
    <t>Regular text - in table - dependent</t>
  </si>
  <si>
    <t>Section header</t>
  </si>
  <si>
    <t>Unlimited</t>
  </si>
  <si>
    <t>Section header - 2 rows</t>
  </si>
  <si>
    <t>Text</t>
  </si>
  <si>
    <t>Table header</t>
  </si>
  <si>
    <t>Table header - 2</t>
  </si>
  <si>
    <t>Light Sky blue</t>
  </si>
  <si>
    <t>ParamMax:</t>
  </si>
  <si>
    <t>Version number</t>
  </si>
  <si>
    <t>Error:</t>
  </si>
  <si>
    <t>Worksheet header - 1 row</t>
  </si>
  <si>
    <t>Calc:</t>
  </si>
  <si>
    <t>Worksheet header - 2 rows</t>
  </si>
  <si>
    <t>User access when protected?:</t>
  </si>
  <si>
    <t>Just empty space to place the logo.</t>
  </si>
  <si>
    <t>Filter Values</t>
  </si>
  <si>
    <t>Addition</t>
  </si>
  <si>
    <t>Cell A3</t>
  </si>
  <si>
    <t>Worksheet header</t>
  </si>
  <si>
    <t>Format change</t>
  </si>
  <si>
    <t>Tech Clearance</t>
  </si>
  <si>
    <t>Tech Clearance - Content change</t>
  </si>
  <si>
    <t>Rental property deductible borrowing expenses calculator</t>
  </si>
  <si>
    <t xml:space="preserve">Preference is to limit to a single row of cells without wrapping - but not always possible. </t>
  </si>
  <si>
    <t>Fixed text</t>
  </si>
  <si>
    <t>Fixed text to provide a worksheet header as no dynamic elements are required.</t>
  </si>
  <si>
    <t>Cell A4</t>
  </si>
  <si>
    <t xml:space="preserve">Limited to the capacity of a single merged row of cells on the left and row shared with the calculated date on the right. </t>
  </si>
  <si>
    <t>Dynamic text to provide the version number from the Version control and about sheet.</t>
  </si>
  <si>
    <t>Cell C4</t>
  </si>
  <si>
    <t>Calculated date</t>
  </si>
  <si>
    <t>Navigation instructions</t>
  </si>
  <si>
    <t xml:space="preserve">Limited to the capacity of a single merged row of cells on the right and row shared with the version number on the left. </t>
  </si>
  <si>
    <t>Dynamic - see notes</t>
  </si>
  <si>
    <t>Dynamic to automatically display today's date.</t>
  </si>
  <si>
    <t>Cell A5</t>
  </si>
  <si>
    <t>Standard navigation instructions - Paragraph leader</t>
  </si>
  <si>
    <t>When navigating around this tool, you can use the:</t>
  </si>
  <si>
    <t>Fixed instructional text.</t>
  </si>
  <si>
    <t>Cell A6</t>
  </si>
  <si>
    <t>Standard navigation instructions - regular text</t>
  </si>
  <si>
    <t>• arrow keys move to all cells</t>
  </si>
  <si>
    <t>Cell A7</t>
  </si>
  <si>
    <t>• tab keys to move to the data entry cells only.</t>
  </si>
  <si>
    <t>Cell A8</t>
  </si>
  <si>
    <t>Standard navigation instructions - paragraph leader</t>
  </si>
  <si>
    <t>This calculator has 4 sections. Use the links below to go to each section.</t>
  </si>
  <si>
    <t>Cell A9</t>
  </si>
  <si>
    <t>Standard navigation instructions - link</t>
  </si>
  <si>
    <t>Hyperlink in Borrowing expenses sheet</t>
  </si>
  <si>
    <t>Hyperlink contained in the Borrowing expenses sheet to aid easy navigation to the Things to know section.</t>
  </si>
  <si>
    <t>Cell A10</t>
  </si>
  <si>
    <t>Link to Enter your information section</t>
  </si>
  <si>
    <t>Hyperlink contained in the Borrowing expenses sheet to aid easy navigation to the section to where users enter their information.</t>
  </si>
  <si>
    <t>Cell A11</t>
  </si>
  <si>
    <t>Link to Information entry guidance section</t>
  </si>
  <si>
    <t xml:space="preserve">Hyperlink contained in the Borrowing expenses sheet to aid easy navigation to the section providing user guidance on field entries. </t>
  </si>
  <si>
    <t>Cell A12</t>
  </si>
  <si>
    <t>Link to Result section</t>
  </si>
  <si>
    <t>Hyperlink contained in the Borrowing expenses sheet to aid easy navigation to the section providing the result of the calculation.</t>
  </si>
  <si>
    <t>Cell A13</t>
  </si>
  <si>
    <t>Things to know - Header</t>
  </si>
  <si>
    <t>Things to know - header</t>
  </si>
  <si>
    <t>Things to know</t>
  </si>
  <si>
    <t>Cell A14</t>
  </si>
  <si>
    <t>Thngs to know - link</t>
  </si>
  <si>
    <t>Instructions - Background &amp; when/how to use</t>
  </si>
  <si>
    <t>• For information about claiming borrowing expenses, see Borrowing expenses.</t>
  </si>
  <si>
    <t>Hyperlink contained in the Borrowing expenses page t to aid easy navigation to the ATO's Rental properties - Borrowing expenses PDF to provide instructional content on what should be claimed at Borrowing expenses - https://www.ato.gov.au/individuals-and-families/investments-and-assets/property-and-land/residential-rental-properties/rental-expenses/borrowing-expenses</t>
  </si>
  <si>
    <t>https://www.ato.gov.au/individuals-and-families/investments-and-assets/property-and-land/residential-rental-properties/rental-expenses/borrowing-expenses</t>
  </si>
  <si>
    <t>Cell A15</t>
  </si>
  <si>
    <t>Things to know - regular text</t>
  </si>
  <si>
    <t>Instructions - Background &amp; when to use</t>
  </si>
  <si>
    <t>• Are your borrowing expenses are $100 or less? Claim the amount in full in the first year you include Rental income and expenses in your return. You don't need to use this calculator.</t>
  </si>
  <si>
    <t xml:space="preserve">Limited to the capacity of two rows of text in a merged row of cells. </t>
  </si>
  <si>
    <t>Fixed instructional text - entered directly into the UI sheet to accommodate formating.</t>
  </si>
  <si>
    <t>Cell A16</t>
  </si>
  <si>
    <t>• Are your borrowing expenses are more than $100? Use this calculator to apportion your expenses over 5 years or the period of the loan, whichever is the lesser.</t>
  </si>
  <si>
    <t>Cell A17</t>
  </si>
  <si>
    <t>• Use the calculator to work out the total deductible borrowing expenses for each rental property.</t>
  </si>
  <si>
    <r>
      <t xml:space="preserve">Fixed instructional text. </t>
    </r>
    <r>
      <rPr>
        <b/>
        <sz val="11"/>
        <color theme="1"/>
        <rFont val="Arial"/>
        <family val="2"/>
      </rPr>
      <t>Row height exception</t>
    </r>
    <r>
      <rPr>
        <sz val="11"/>
        <color theme="1"/>
        <rFont val="Arial"/>
        <family val="2"/>
      </rPr>
      <t xml:space="preserve"> - normally we would make the row height 15 in a group of other single rows but are using 19 here when a single row is in a group of Regular text - 2 rows. </t>
    </r>
  </si>
  <si>
    <t>Cell A18</t>
  </si>
  <si>
    <t>• myTax users – enter the total deductible borrowing expenses into myTax. The system will calculate your share using Ownership percentage.</t>
  </si>
  <si>
    <t>Cell A19</t>
  </si>
  <si>
    <t>Instructions - Standard disclaimer required</t>
  </si>
  <si>
    <t xml:space="preserve">Note: The calculated results are based on the information you provided at the time of calculation. You should use these results as an estimate and for guidance purposes only. </t>
  </si>
  <si>
    <t>Cell A20</t>
  </si>
  <si>
    <t>Enter your information - Header</t>
  </si>
  <si>
    <t>Cell A21</t>
  </si>
  <si>
    <t>Enter your information - Mandatory fields - Paragraph leader  - highlighted</t>
  </si>
  <si>
    <t>Mandatory fields - Paragraph leader</t>
  </si>
  <si>
    <t>Complete this section with your deductible borrowing expenses information.</t>
  </si>
  <si>
    <t xml:space="preserve">Limited to the capacity of a single row of cells without wrapping or merging. </t>
  </si>
  <si>
    <t>Cell A22</t>
  </si>
  <si>
    <t>Enter your information - Instruction - Mandatory fields</t>
  </si>
  <si>
    <t>Instruction - Mandatory fields</t>
  </si>
  <si>
    <t>• All fields marked with an asterix (*) must be completed or we can't work out your deduction.</t>
  </si>
  <si>
    <t>Cell A23</t>
  </si>
  <si>
    <t>Enter your information - Instruction - Information entry guidance</t>
  </si>
  <si>
    <t>Mandatory fields - instructions</t>
  </si>
  <si>
    <t>• Check the Information entry guidance section below for help.</t>
  </si>
  <si>
    <t>Cell A24</t>
  </si>
  <si>
    <t>Enter your information - Table header</t>
  </si>
  <si>
    <t>Enter your information table - Table header</t>
  </si>
  <si>
    <t>Step 1 – Loan details</t>
  </si>
  <si>
    <t xml:space="preserve">Limited to the capacity of a single row of cells without merging. </t>
  </si>
  <si>
    <t>Fixed instructional text</t>
  </si>
  <si>
    <t>Cell A25</t>
  </si>
  <si>
    <t>Enter your information - Prompt - Property Name</t>
  </si>
  <si>
    <t>Enter your information table - Value name</t>
  </si>
  <si>
    <t>Property name</t>
  </si>
  <si>
    <t xml:space="preserve">Limited to the capacity of a single row of cells without wrapping. </t>
  </si>
  <si>
    <t>Fixed instructional text requesting property name</t>
  </si>
  <si>
    <t>Cell B25</t>
  </si>
  <si>
    <t>Enter your information - Value - Property name</t>
  </si>
  <si>
    <t>Enter your information table - Value</t>
  </si>
  <si>
    <t>Length (character limt):</t>
  </si>
  <si>
    <t>Free-form text with a character limit.</t>
  </si>
  <si>
    <t>Error message needs is adjusted via data validation in cell in the Borrowing expenses sheet.</t>
  </si>
  <si>
    <t>This cell allows values to be entered to be entered by the user which is controlled by data validation [see Length (character limit) above].</t>
  </si>
  <si>
    <t>Cell A26</t>
  </si>
  <si>
    <t>Enter your information - Prompt - Address</t>
  </si>
  <si>
    <t>Address</t>
  </si>
  <si>
    <t>Fixed instructional text requesting address</t>
  </si>
  <si>
    <t>Cell B26</t>
  </si>
  <si>
    <t>Enter your information - Value - Address</t>
  </si>
  <si>
    <t>This cell allows free-form text to be entered by the user which is controlled by data validation [see Length (character limit) above].</t>
  </si>
  <si>
    <t>Cell A27</t>
  </si>
  <si>
    <t>Enter your information - Prompt - Total loan amount</t>
  </si>
  <si>
    <t>Total loan amount *</t>
  </si>
  <si>
    <t>Fixed instructional text requesting total loan amount</t>
  </si>
  <si>
    <t>Cell E27</t>
  </si>
  <si>
    <t>Enter your information - Value - Total Loan amount</t>
  </si>
  <si>
    <t>11 characters including decimal</t>
  </si>
  <si>
    <t>Numeric</t>
  </si>
  <si>
    <t>Numerical data entry by user within defined data validation.</t>
  </si>
  <si>
    <t>Cell A28</t>
  </si>
  <si>
    <t>Enter your information - Prompt - Loan settlement date</t>
  </si>
  <si>
    <t>Loan settlement date *</t>
  </si>
  <si>
    <t>Cell E28</t>
  </si>
  <si>
    <t>Enter your information - Date - Loan settlement date</t>
  </si>
  <si>
    <t>Date format</t>
  </si>
  <si>
    <r>
      <rPr>
        <b/>
        <sz val="11"/>
        <color theme="1"/>
        <rFont val="Arial"/>
        <family val="2"/>
      </rPr>
      <t>Note:</t>
    </r>
    <r>
      <rPr>
        <sz val="11"/>
        <color theme="1"/>
        <rFont val="Arial"/>
        <family val="2"/>
      </rPr>
      <t xml:space="preserve"> This is specified as today's date and changes dynamically.</t>
    </r>
  </si>
  <si>
    <t>Date entry by user within defined data validation.</t>
  </si>
  <si>
    <t>Cell A29</t>
  </si>
  <si>
    <t>Enter your information - Prompt - Loan term</t>
  </si>
  <si>
    <t>Loan term *</t>
  </si>
  <si>
    <t>Fixed instructional text requesting loan term</t>
  </si>
  <si>
    <t>Cell E29</t>
  </si>
  <si>
    <t>Enter your information - Loan term (in years)</t>
  </si>
  <si>
    <t>Data entry - Loan term in years</t>
  </si>
  <si>
    <t>See data validation list bleow</t>
  </si>
  <si>
    <t>List:</t>
  </si>
  <si>
    <t>Defined in dropdown list</t>
  </si>
  <si>
    <t>Error message is adjusted via data validation in cell in the Borrowing expenses sheet.</t>
  </si>
  <si>
    <t>Numeric data entry by user selecting from a drop list list controlled by data validation.</t>
  </si>
  <si>
    <t>Cell A30</t>
  </si>
  <si>
    <t>Enter your information - Prompt - Was any part of the loan used for any other purpose?</t>
  </si>
  <si>
    <t>Was any part of the loan used for any other purpose? *
• Did you use some of the loan to buy something else (for example – a private motor vehicle) as well as the rental property.</t>
  </si>
  <si>
    <r>
      <t xml:space="preserve">Prompt to select whether any part of the loan </t>
    </r>
    <r>
      <rPr>
        <b/>
        <sz val="11"/>
        <color theme="1"/>
        <rFont val="Arial"/>
        <family val="2"/>
      </rPr>
      <t>not</t>
    </r>
    <r>
      <rPr>
        <sz val="11"/>
        <color theme="1"/>
        <rFont val="Arial"/>
        <family val="2"/>
      </rPr>
      <t xml:space="preserve"> used to purchase the rental property</t>
    </r>
  </si>
  <si>
    <t>Cell E30</t>
  </si>
  <si>
    <t>Enter your information - Data entry - Was any part of the loan used for any other purpose?</t>
  </si>
  <si>
    <t xml:space="preserve">Defined in dropdown list. </t>
  </si>
  <si>
    <t>Data validation dropdown list</t>
  </si>
  <si>
    <t>Yes</t>
  </si>
  <si>
    <t>No</t>
  </si>
  <si>
    <r>
      <t xml:space="preserve">Select whether any part of the loan </t>
    </r>
    <r>
      <rPr>
        <b/>
        <sz val="11"/>
        <color theme="1"/>
        <rFont val="Arial"/>
        <family val="2"/>
      </rPr>
      <t>not</t>
    </r>
    <r>
      <rPr>
        <sz val="11"/>
        <color theme="1"/>
        <rFont val="Arial"/>
        <family val="2"/>
      </rPr>
      <t xml:space="preserve"> used to purchase the rental property</t>
    </r>
  </si>
  <si>
    <t>Cell A31</t>
  </si>
  <si>
    <t>Enter your information - Prompt - Amount of loan used for another purpose (not used to purchase the rental property) *</t>
  </si>
  <si>
    <r>
      <t xml:space="preserve">Prompt to the amount of the loan </t>
    </r>
    <r>
      <rPr>
        <b/>
        <sz val="11"/>
        <color theme="1"/>
        <rFont val="Arial"/>
        <family val="2"/>
      </rPr>
      <t>not</t>
    </r>
    <r>
      <rPr>
        <sz val="11"/>
        <color theme="1"/>
        <rFont val="Arial"/>
        <family val="2"/>
      </rPr>
      <t xml:space="preserve"> used to purchase the rental property - entered directly into the UI sheet to accommodate formating.</t>
    </r>
  </si>
  <si>
    <t>Cell E31</t>
  </si>
  <si>
    <t>Enter your information - Value - Amount of loan used for another purpose (not used to purchase the rental property) *</t>
  </si>
  <si>
    <t>Numerical data entry by user within defined data validation.  Note that the parameter maximum is variable (see B589).</t>
  </si>
  <si>
    <t>Cell A32</t>
  </si>
  <si>
    <t>Enter your information - Calculated field label - Amount of loan used only for rental property purchase</t>
  </si>
  <si>
    <t>Enter your information table - Calculated field label</t>
  </si>
  <si>
    <t>Amount of loan used only for rental property purchase</t>
  </si>
  <si>
    <t>Label for the amount of loan used only for rental property purchase which is a calculated value.</t>
  </si>
  <si>
    <t>Cell E32</t>
  </si>
  <si>
    <t>Enter your information - Calculated value - Amount of loan used only for rental property purchase</t>
  </si>
  <si>
    <t>Additional formatting information:</t>
  </si>
  <si>
    <t>Conditional formating has been applied to this cell to highlight when the data between E31 and E32 is inconsistent:
- When No is selected at E30, and E31 is not 0
- When Yes is selected at E30, and E31 is 0
- When - Select - is selected, and E31 is not 0</t>
  </si>
  <si>
    <t>Enter your information table - Calculated value</t>
  </si>
  <si>
    <t>Numeric (calculated)</t>
  </si>
  <si>
    <t>Calculated value being the total loan amount less the amount of loan used for another purpose.</t>
  </si>
  <si>
    <t>Cell A33</t>
  </si>
  <si>
    <t>Step 2 – Borrowing expenses</t>
  </si>
  <si>
    <t>Fixed table header text</t>
  </si>
  <si>
    <t>Cell A34</t>
  </si>
  <si>
    <t>Enter your information - extra instructional text</t>
  </si>
  <si>
    <t>Enter your information table - extra instructional text</t>
  </si>
  <si>
    <t>• Total expenses to take out your loan.</t>
  </si>
  <si>
    <t>Fixed instructional text for the user.</t>
  </si>
  <si>
    <t>Cell A35</t>
  </si>
  <si>
    <t>Enter your information - Table header type 2- Description</t>
  </si>
  <si>
    <t>Enter your information table - Description</t>
  </si>
  <si>
    <t>Description</t>
  </si>
  <si>
    <t xml:space="preserve">Secondary table header for description cell in data entry table. Row height exception due to need to wrap at E35. </t>
  </si>
  <si>
    <t>Cell E35</t>
  </si>
  <si>
    <t>Enter your information - Table header type 2 - Value</t>
  </si>
  <si>
    <t>Value
(in $ and cents only)</t>
  </si>
  <si>
    <t xml:space="preserve">Normally would be limited to the capacity of a single row of cells without wrapping - but needed at add $ and cents instructional element. </t>
  </si>
  <si>
    <t>Secondary table header for value cell in data entry table. Row height exception due to need to wrap at E35. Entered directly into the UI sheet to accommodate formating.</t>
  </si>
  <si>
    <t>Cell A36</t>
  </si>
  <si>
    <t>Enter your information - Prompt - Loan establishment fees</t>
  </si>
  <si>
    <t>Loan establishment fees</t>
  </si>
  <si>
    <t>Fixed instructional text prompting for loan establishment fees</t>
  </si>
  <si>
    <t>Cell E36</t>
  </si>
  <si>
    <t>Enter your information - Value - Loan establishment fees</t>
  </si>
  <si>
    <t>6 characters including decimal</t>
  </si>
  <si>
    <t>Warning message is adjusted via data validation in cell in the Borrowing expenses sheet.</t>
  </si>
  <si>
    <t>Cell A37</t>
  </si>
  <si>
    <t>Enter your information - Prompt - Lender’s mortgage insurance</t>
  </si>
  <si>
    <t xml:space="preserve">Lender’s mortgage insurance
• Insurance the lender takes out and bills to you. </t>
  </si>
  <si>
    <t xml:space="preserve">Limited to the capacity of two row of text. </t>
  </si>
  <si>
    <t>Fixed instructional text prompting Lender’s mortgage insurance cost. Row height exception back to 26.5 as displays better in this case.</t>
  </si>
  <si>
    <t>Cell E37</t>
  </si>
  <si>
    <t>Enter your information - Value - Lender’s mortgage insurance</t>
  </si>
  <si>
    <t>8 characters including decimal</t>
  </si>
  <si>
    <t>Cell A38</t>
  </si>
  <si>
    <t>Enter your information - Prompt - Stamp duty charged on mortgage registration</t>
  </si>
  <si>
    <t>Stamp duty charged on mortgage registration (passed on by your lender)</t>
  </si>
  <si>
    <t>Fixed instructional text prompting Stamp duty charged on mortgage registration</t>
  </si>
  <si>
    <t>Cell E38</t>
  </si>
  <si>
    <t>Enter your information - Value - Stamp duty charged on mortgage registration</t>
  </si>
  <si>
    <t>Cell A39</t>
  </si>
  <si>
    <t>Enter your information - Prompt - Title search fees (charged by your lender)</t>
  </si>
  <si>
    <t>Title search fees (charged by your lender)</t>
  </si>
  <si>
    <t>Fixed instructional text prompting Title search fees.</t>
  </si>
  <si>
    <t>Enter your information - Value - Title search fees (charged by your lender)</t>
  </si>
  <si>
    <t>Cell A40</t>
  </si>
  <si>
    <t>Enter your information - Prompt - Costs for preparing and filing mortgage documents (including solicitors’ fees)</t>
  </si>
  <si>
    <t>Costs to prepare and file mortgage documents (including solicitors’ fees)</t>
  </si>
  <si>
    <t>Fixed instructional text prompting mortgage documentation costs.</t>
  </si>
  <si>
    <t>Cell E40</t>
  </si>
  <si>
    <t>Enter your information - Value - Costs for preparing and filing mortgage documents (including solicitors’ fees)</t>
  </si>
  <si>
    <t>Cell A41</t>
  </si>
  <si>
    <t>Enter your information - Prompt - Mortgage broker fees</t>
  </si>
  <si>
    <t>Mortgage broker fees</t>
  </si>
  <si>
    <t>Fixed instructional text prompting Mortgage broker fees.</t>
  </si>
  <si>
    <t>Cell E41</t>
  </si>
  <si>
    <t>Enter your information - Value - Mortgage broker fees</t>
  </si>
  <si>
    <t>Cell A42</t>
  </si>
  <si>
    <t>Enter your information - Prompt - Fees for a valuation required for a loan approval</t>
  </si>
  <si>
    <t>Fees for a valuation required for a loan approval</t>
  </si>
  <si>
    <t>Fixed instructional text prompting valuation fees.</t>
  </si>
  <si>
    <t>Cell E42</t>
  </si>
  <si>
    <t>Enter your information - Value - Fees for a valuation required for a loan approval</t>
  </si>
  <si>
    <t>Cell A43</t>
  </si>
  <si>
    <t>Enter your information - Calculated field label - Total borrowing expenses</t>
  </si>
  <si>
    <t>Enter your information table - Calculated field value</t>
  </si>
  <si>
    <t>Total borrowing expenses</t>
  </si>
  <si>
    <t>Fixed instructional text for the Total borrowing expenses field label.</t>
  </si>
  <si>
    <t>Cell E43</t>
  </si>
  <si>
    <t>Enter your information - Calculated field value - Total borrowing expenses</t>
  </si>
  <si>
    <t>Cell A44</t>
  </si>
  <si>
    <t>Information entry guidance - Section header</t>
  </si>
  <si>
    <t>Guidance section header</t>
  </si>
  <si>
    <t>Cell A45</t>
  </si>
  <si>
    <t>Information entry guidance - Calculated field value - Guidance messaging</t>
  </si>
  <si>
    <t>Information entry  guidance - Messaging</t>
  </si>
  <si>
    <t>Message length reflecting the information entry deficiency/issue.</t>
  </si>
  <si>
    <t>Guidance message to assist the user with the information entry deficiency/issue as defined at Cell B923.</t>
  </si>
  <si>
    <t>Cell A46</t>
  </si>
  <si>
    <t>Results Section header</t>
  </si>
  <si>
    <t>Results section header</t>
  </si>
  <si>
    <t>Cell A47</t>
  </si>
  <si>
    <t>• Based on the information entered, your claimable amounts for each year are detailed here.</t>
  </si>
  <si>
    <t>Cell A48</t>
  </si>
  <si>
    <t>Results - Calculated field label - Property Name</t>
  </si>
  <si>
    <t xml:space="preserve">Limited to the capacity of a single row of cells without merging or wrapping. </t>
  </si>
  <si>
    <t>Cell B48</t>
  </si>
  <si>
    <t>Enter your information - Calculated field value - Property name</t>
  </si>
  <si>
    <t>50 characters (see data validation at source cell)</t>
  </si>
  <si>
    <t>Calculated value being the Property name entered at the borrowing expenses sheet cell B24.</t>
  </si>
  <si>
    <t>Cell A49</t>
  </si>
  <si>
    <t>Results - Calculated field name - Address</t>
  </si>
  <si>
    <t>Cell B49</t>
  </si>
  <si>
    <t>Enter your information - Calculated field value - Adresss</t>
  </si>
  <si>
    <t>Calculated value being the Property address entered at borrowing expenses sheet B25.</t>
  </si>
  <si>
    <t>Cell A50</t>
  </si>
  <si>
    <t>Results - Calculated field label - Borrowing expenses adjusted for loan use</t>
  </si>
  <si>
    <t>Results - Calculated field value</t>
  </si>
  <si>
    <t>Borrowing expenses adjusted for loan use</t>
  </si>
  <si>
    <t>Cell C50</t>
  </si>
  <si>
    <t>Enter your information - Calculated label - Borrowing expenses adjusted for loan use</t>
  </si>
  <si>
    <t>Results - Value</t>
  </si>
  <si>
    <t>Calculated value at B1010.</t>
  </si>
  <si>
    <t>Cell E50</t>
  </si>
  <si>
    <t>Calculated value at B1024</t>
  </si>
  <si>
    <t>Cell A51</t>
  </si>
  <si>
    <t>Results - Table header - Deductible borrowing expenses for each year</t>
  </si>
  <si>
    <t>Deductible borrowing expenses for each year</t>
  </si>
  <si>
    <t>Cell A52</t>
  </si>
  <si>
    <t>Results - Calculated field label - Explanation of the yearly apportionment spread.</t>
  </si>
  <si>
    <t>Message length reflecting the number of years that the expenses are apportioned/spread over.</t>
  </si>
  <si>
    <t>Message to assist the user to understand how the yearly apportionment works as defined at Cell B1077.</t>
  </si>
  <si>
    <t>Derived apportionment spread control value</t>
  </si>
  <si>
    <t>This cell generates the correct number of years that should apply using the following rules:</t>
  </si>
  <si>
    <t>1) If total borrowing expenses are less than or equal to $100, the whole amount is applied in the first year.</t>
  </si>
  <si>
    <t xml:space="preserve">2) If the total borrowing expenses are greater than $100, then the total borrowing expenses are apportioned across the term of the loan or 5 years which ever is the lesser. </t>
  </si>
  <si>
    <t>Note that the value just defaults to 5 years when '- Select -' is chosen but the value will not be displayed so it doesn't matter.</t>
  </si>
  <si>
    <t>Table to create to financial year display - to transfer to the Reference module</t>
  </si>
  <si>
    <t>Year</t>
  </si>
  <si>
    <t>Single Year</t>
  </si>
  <si>
    <t>Abbreviated year</t>
  </si>
  <si>
    <t>Dual year</t>
  </si>
  <si>
    <t>The table below at B1156:D1163 references the above table to generate the 'tax year' format (20XX-XX+1). This is used to ensure tapayers claim in the right year.</t>
  </si>
  <si>
    <t>Table to create to financial year display</t>
  </si>
  <si>
    <t>Date of settlement:</t>
  </si>
  <si>
    <t>Borrowing expenses:</t>
  </si>
  <si>
    <t>Year First Reported:</t>
  </si>
  <si>
    <t>Loan term:</t>
  </si>
  <si>
    <t>5 Year calculation:</t>
  </si>
  <si>
    <t>Year starting</t>
  </si>
  <si>
    <t>Year ending</t>
  </si>
  <si>
    <t>Days available</t>
  </si>
  <si>
    <t>Days held</t>
  </si>
  <si>
    <t>Rounded</t>
  </si>
  <si>
    <t>Auto amended values (highlighted if amended)</t>
  </si>
  <si>
    <t>TOTAL</t>
  </si>
  <si>
    <t>4 Year calculation:</t>
  </si>
  <si>
    <t>3 Year calculation:</t>
  </si>
  <si>
    <t>2 Year calculation:</t>
  </si>
  <si>
    <t>1 Year calculation:</t>
  </si>
  <si>
    <t>Chooses data for the selected year:</t>
  </si>
  <si>
    <t>Claim year</t>
  </si>
  <si>
    <t>Allowable deduction</t>
  </si>
  <si>
    <r>
      <rPr>
        <b/>
        <sz val="11"/>
        <color theme="1"/>
        <rFont val="Arial"/>
        <family val="2"/>
      </rPr>
      <t>Note:</t>
    </r>
    <r>
      <rPr>
        <sz val="11"/>
        <color theme="1"/>
        <rFont val="Arial"/>
        <family val="2"/>
      </rPr>
      <t xml:space="preserve"> If greater than 5, chooses the 5 year calculation</t>
    </r>
  </si>
  <si>
    <t>Presentation clean-up only:</t>
  </si>
  <si>
    <t>Cell B53</t>
  </si>
  <si>
    <t>Final table to derive deductible borrowing expenses for each year</t>
  </si>
  <si>
    <t>Days</t>
  </si>
  <si>
    <t>Amount to claim</t>
  </si>
  <si>
    <t>Once data has been entered correctly, this table does a number of things to populate the deductible borrowing expenses for each year:</t>
  </si>
  <si>
    <t xml:space="preserve">1) It checks to see if Deductible borrowing expenses are less than or equal to $100.  If so, then all expenses are claimed in the first year of the claim with no expenses apportioned. </t>
  </si>
  <si>
    <t xml:space="preserve">2) If greater than $100, it sources the claim year, the days and apportioned expenses and spreads the apportioned expenses over the lesser of the loan term or 5 years. </t>
  </si>
  <si>
    <t xml:space="preserve">3) In the calculations above you will note rounding to the nearest cent. This has been done as we can only ask taxpayers to pay in $ and cents, but the input values can generate results using more that 2 significant figures. So the results for each years are rounded to whole cents. This yearly rounding can mean that the accumulated rounded result is marginally different (by 1 or 2 cents) from the Borrowing expenses adjusted for loan use value. A corrective adjustment has been built into the calculator to adjust for this. The corrective adjustment ensures that the accumulated value of the years is exactly equal to the Borrowing expenses adjusted for loan use value. You will note that this is done to the advantage of the taxpayer. Corrective adjustments which are positive happen in the first year.  Corrective adjustments which are positive happen in the last year. </t>
  </si>
  <si>
    <t>Cell A61</t>
  </si>
  <si>
    <t>Results - Information - Additional compliance messaging - Get your rental expenses claim right</t>
  </si>
  <si>
    <t>Results - Information</t>
  </si>
  <si>
    <t>Get your rental expenses claim right:</t>
  </si>
  <si>
    <t>Cell A62</t>
  </si>
  <si>
    <t>Results - Information - Additional compliance messaging - Detail</t>
  </si>
  <si>
    <t>You can only claim expenses you incur for borrowing money for the purpose of producing assessable rental income.
You must apportion your yearly borrowing expenses where you:
     • don’t rent the property for part of the year
     • only rent out part of your property
     • use the property or kept it vacant for yourself
     • rent the property at below market rates.</t>
  </si>
  <si>
    <t>Cell A63</t>
  </si>
  <si>
    <t>Results - Information - Additional compliance messaging - Link</t>
  </si>
  <si>
    <t>Hyperlink contained in the Borrowing expenses sheet to: B:1251</t>
  </si>
  <si>
    <t>Cell A64</t>
  </si>
  <si>
    <t>Results - Information - Retention</t>
  </si>
  <si>
    <t>Retain this for your future tax returns.</t>
  </si>
  <si>
    <t>Reference table for data entry validation</t>
  </si>
  <si>
    <t>Hyperlink drivers for A14</t>
  </si>
  <si>
    <t>Hyperlink drivers for A63</t>
  </si>
  <si>
    <t>https://www.ato.gov.au/forms-and-instructions/rental-properties-</t>
  </si>
  <si>
    <t>/rental-expenses#Apportionmentofrentalexpenses</t>
  </si>
  <si>
    <t>Total Rows:</t>
  </si>
  <si>
    <t>Rows suggested for Tech clearance review:</t>
  </si>
  <si>
    <t>% for suggested review:</t>
  </si>
  <si>
    <r>
      <t>Testing module</t>
    </r>
    <r>
      <rPr>
        <b/>
        <sz val="12"/>
        <color rgb="FF3844CA"/>
        <rFont val="Arial"/>
        <family val="2"/>
      </rPr>
      <t xml:space="preserve"> </t>
    </r>
    <r>
      <rPr>
        <sz val="12"/>
        <color rgb="FF3844CA"/>
        <rFont val="Calibri"/>
        <family val="2"/>
        <scheme val="minor"/>
      </rPr>
      <t>(hidden from users)</t>
    </r>
  </si>
  <si>
    <t>Data Entry</t>
  </si>
  <si>
    <t>Calculator result</t>
  </si>
  <si>
    <t>Loan Settlement date boundaries</t>
  </si>
  <si>
    <t>Loan term</t>
  </si>
  <si>
    <t>Loan used for any other purpose?</t>
  </si>
  <si>
    <t>Step 1 - Loan details:</t>
  </si>
  <si>
    <t>Copy from Borrowing expenses (B50:D57) to enable comparison</t>
  </si>
  <si>
    <t>a</t>
  </si>
  <si>
    <t>b</t>
  </si>
  <si>
    <t>c</t>
  </si>
  <si>
    <t>d</t>
  </si>
  <si>
    <t>Was any part of the loan used for any other purpose? *</t>
  </si>
  <si>
    <t>e</t>
  </si>
  <si>
    <t>Amount of loan used for another purpose</t>
  </si>
  <si>
    <t>f</t>
  </si>
  <si>
    <r>
      <t xml:space="preserve">Amount of loan used only for rental property purchase </t>
    </r>
    <r>
      <rPr>
        <sz val="10"/>
        <color theme="1"/>
        <rFont val="Arial"/>
        <family val="2"/>
      </rPr>
      <t>(a - e)</t>
    </r>
  </si>
  <si>
    <t>Step 2 - Borrowing expenses:</t>
  </si>
  <si>
    <r>
      <t xml:space="preserve">Test module </t>
    </r>
    <r>
      <rPr>
        <sz val="10"/>
        <color rgb="FF3844CA"/>
        <rFont val="Arial"/>
        <family val="2"/>
      </rPr>
      <t xml:space="preserve">(Results will </t>
    </r>
    <r>
      <rPr>
        <b/>
        <sz val="10"/>
        <color rgb="FF3844CA"/>
        <rFont val="Arial"/>
        <family val="2"/>
      </rPr>
      <t>not</t>
    </r>
    <r>
      <rPr>
        <sz val="10"/>
        <color rgb="FF3844CA"/>
        <rFont val="Arial"/>
        <family val="2"/>
      </rPr>
      <t xml:space="preserve"> be correct if invalid data is entered)</t>
    </r>
  </si>
  <si>
    <t>g</t>
  </si>
  <si>
    <t>Loan settlement date</t>
  </si>
  <si>
    <t>Adjusted borrowing expenses</t>
  </si>
  <si>
    <t>Year first reported</t>
  </si>
  <si>
    <t>h</t>
  </si>
  <si>
    <t>Lender’s mortgage insurance</t>
  </si>
  <si>
    <t>Test module result</t>
  </si>
  <si>
    <t>i</t>
  </si>
  <si>
    <t>Stamp duty charged on mortgage registration</t>
  </si>
  <si>
    <t>j</t>
  </si>
  <si>
    <t>Title search fees</t>
  </si>
  <si>
    <t>k</t>
  </si>
  <si>
    <t>Costs for preparing and filing mortgage documents (including solicitors’ fees)</t>
  </si>
  <si>
    <t>l</t>
  </si>
  <si>
    <t>Settlement date</t>
  </si>
  <si>
    <t>m</t>
  </si>
  <si>
    <t>End of loan term</t>
  </si>
  <si>
    <t>n</t>
  </si>
  <si>
    <r>
      <t xml:space="preserve">Total borrowing expenses
</t>
    </r>
    <r>
      <rPr>
        <sz val="10"/>
        <color theme="1"/>
        <rFont val="Arial"/>
        <family val="2"/>
      </rPr>
      <t>(g + h + I + j + k + l + m + n)</t>
    </r>
  </si>
  <si>
    <t>Difference</t>
  </si>
  <si>
    <r>
      <rPr>
        <b/>
        <sz val="11"/>
        <color theme="1"/>
        <rFont val="Calibri"/>
        <family val="2"/>
        <scheme val="minor"/>
      </rPr>
      <t xml:space="preserve">Adjusted borrowing expenses
</t>
    </r>
    <r>
      <rPr>
        <sz val="11"/>
        <color theme="1"/>
        <rFont val="Calibri"/>
        <family val="2"/>
        <scheme val="minor"/>
      </rPr>
      <t>(n x f / a)</t>
    </r>
  </si>
  <si>
    <t>5 years</t>
  </si>
  <si>
    <t>Rounded deduction</t>
  </si>
  <si>
    <t>Amended</t>
  </si>
  <si>
    <t>Daily rate by no of days check</t>
  </si>
  <si>
    <t>4 years</t>
  </si>
  <si>
    <t>3 years</t>
  </si>
  <si>
    <t>2 years</t>
  </si>
  <si>
    <t>1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</si>
</sst>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164" formatCode="&quot;$&quot;#,##0.00"/>
    <numFmt numFmtId="165" formatCode="_-&quot;$&quot;* #,##0_-;\-&quot;$&quot;* #,##0_-;_-&quot;$&quot;* &quot;-&quot;??_-;_-@_-"/>
    <numFmt numFmtId="166" formatCode="yyyy"/>
    <numFmt numFmtId="167" formatCode="[$-C09]d\ mmmm\ yyyy;@"/>
    <numFmt numFmtId="168" formatCode="_-&quot;$&quot;* #,##0.0000_-;\-&quot;$&quot;* #,##0.0000_-;_-&quot;$&quot;* &quot;-&quot;??_-;_-@_-"/>
  </numFmts>
  <fonts count="44" x14ac:knownFonts="1">
    <font>
      <sz val="11"/>
      <color theme="1"/>
      <name val="Calibri"/>
      <family val="2"/>
      <scheme val="minor"/>
    </font>
    <font>
      <sz val="11"/>
      <color theme="1"/>
      <name val="Calibri"/>
      <family val="2"/>
      <scheme val="minor"/>
    </font>
    <font>
      <sz val="11"/>
      <color theme="0"/>
      <name val="Arial"/>
      <family val="2"/>
    </font>
    <font>
      <sz val="11"/>
      <color theme="1"/>
      <name val="Arial"/>
      <family val="2"/>
    </font>
    <font>
      <b/>
      <sz val="11"/>
      <color theme="0"/>
      <name val="Arial"/>
      <family val="2"/>
    </font>
    <font>
      <b/>
      <sz val="11"/>
      <color theme="1"/>
      <name val="Arial"/>
      <family val="2"/>
    </font>
    <font>
      <b/>
      <sz val="11"/>
      <color rgb="FFFF0000"/>
      <name val="Arial"/>
      <family val="2"/>
    </font>
    <font>
      <sz val="11"/>
      <name val="Arial"/>
      <family val="2"/>
    </font>
    <font>
      <u/>
      <sz val="11"/>
      <color theme="10"/>
      <name val="Calibri"/>
      <family val="2"/>
      <scheme val="minor"/>
    </font>
    <font>
      <b/>
      <sz val="14"/>
      <color rgb="FF0FA5AD"/>
      <name val="Arial"/>
      <family val="2"/>
    </font>
    <font>
      <b/>
      <sz val="11"/>
      <name val="Arial"/>
      <family val="2"/>
    </font>
    <font>
      <sz val="11"/>
      <color rgb="FFFF0000"/>
      <name val="Arial"/>
      <family val="2"/>
    </font>
    <font>
      <sz val="11"/>
      <color rgb="FFC00000"/>
      <name val="Arial"/>
      <family val="2"/>
    </font>
    <font>
      <b/>
      <sz val="10"/>
      <color theme="1"/>
      <name val="Arial"/>
      <family val="2"/>
    </font>
    <font>
      <sz val="10"/>
      <color theme="1"/>
      <name val="Arial"/>
      <family val="2"/>
    </font>
    <font>
      <sz val="9"/>
      <color theme="1"/>
      <name val="Arial"/>
      <family val="2"/>
    </font>
    <font>
      <i/>
      <sz val="11"/>
      <color theme="1"/>
      <name val="Arial"/>
      <family val="2"/>
    </font>
    <font>
      <b/>
      <u/>
      <sz val="11"/>
      <color theme="0"/>
      <name val="Arial"/>
      <family val="2"/>
    </font>
    <font>
      <u/>
      <sz val="11"/>
      <color theme="10"/>
      <name val="Arial"/>
      <family val="2"/>
    </font>
    <font>
      <b/>
      <sz val="16"/>
      <color theme="1"/>
      <name val="Arial"/>
      <family val="2"/>
    </font>
    <font>
      <sz val="11"/>
      <color rgb="FF0070C0"/>
      <name val="Arial"/>
      <family val="2"/>
    </font>
    <font>
      <b/>
      <sz val="11"/>
      <color rgb="FF0070C0"/>
      <name val="Arial"/>
      <family val="2"/>
    </font>
    <font>
      <u/>
      <sz val="11"/>
      <color theme="10"/>
      <name val="Calibri"/>
      <family val="2"/>
    </font>
    <font>
      <sz val="11"/>
      <color theme="1"/>
      <name val="Calibri"/>
      <family val="2"/>
    </font>
    <font>
      <b/>
      <sz val="11"/>
      <color theme="1"/>
      <name val="Calibri"/>
      <family val="2"/>
      <scheme val="minor"/>
    </font>
    <font>
      <b/>
      <u/>
      <sz val="11"/>
      <name val="Arial"/>
      <family val="2"/>
    </font>
    <font>
      <sz val="10"/>
      <name val="Arial"/>
      <family val="2"/>
    </font>
    <font>
      <b/>
      <sz val="10"/>
      <name val="Arial"/>
      <family val="2"/>
    </font>
    <font>
      <sz val="10"/>
      <color theme="0"/>
      <name val="Arial"/>
      <family val="2"/>
    </font>
    <font>
      <b/>
      <sz val="10"/>
      <color theme="0"/>
      <name val="Arial"/>
      <family val="2"/>
    </font>
    <font>
      <sz val="11"/>
      <color theme="0" tint="-4.9989318521683403E-2"/>
      <name val="Calibri"/>
      <family val="2"/>
      <scheme val="minor"/>
    </font>
    <font>
      <sz val="10"/>
      <color theme="0" tint="-4.9989318521683403E-2"/>
      <name val="Arial"/>
      <family val="2"/>
    </font>
    <font>
      <sz val="11"/>
      <name val="Calibri"/>
      <family val="2"/>
      <scheme val="minor"/>
    </font>
    <font>
      <b/>
      <sz val="22"/>
      <color rgb="FF3844CA"/>
      <name val="Arial"/>
      <family val="2"/>
    </font>
    <font>
      <b/>
      <sz val="16"/>
      <color rgb="FF3844CA"/>
      <name val="Arial"/>
      <family val="2"/>
    </font>
    <font>
      <b/>
      <sz val="11"/>
      <color rgb="FF3844CA"/>
      <name val="Arial"/>
      <family val="2"/>
    </font>
    <font>
      <b/>
      <sz val="10"/>
      <color rgb="FF3844CA"/>
      <name val="Arial"/>
      <family val="2"/>
    </font>
    <font>
      <b/>
      <sz val="14"/>
      <color rgb="FF3844CA"/>
      <name val="Arial"/>
      <family val="2"/>
    </font>
    <font>
      <b/>
      <sz val="12"/>
      <color rgb="FF3844CA"/>
      <name val="Arial"/>
      <family val="2"/>
    </font>
    <font>
      <sz val="12"/>
      <color rgb="FF3844CA"/>
      <name val="Calibri"/>
      <family val="2"/>
      <scheme val="minor"/>
    </font>
    <font>
      <sz val="10"/>
      <color rgb="FF3844CA"/>
      <name val="Arial"/>
      <family val="2"/>
    </font>
    <font>
      <sz val="11"/>
      <color rgb="FF3844CA"/>
      <name val="Arial"/>
      <family val="2"/>
    </font>
    <font>
      <sz val="11"/>
      <color rgb="FF3844CA"/>
      <name val="Calibri"/>
      <family val="2"/>
      <scheme val="minor"/>
    </font>
    <font>
      <sz val="10"/>
      <color rgb="FFFF0000"/>
      <name val="Arial"/>
      <family val="2"/>
    </font>
  </fonts>
  <fills count="13">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bgColor indexed="64"/>
      </patternFill>
    </fill>
    <fill>
      <patternFill patternType="solid">
        <fgColor rgb="FF3844CA"/>
        <bgColor indexed="64"/>
      </patternFill>
    </fill>
    <fill>
      <patternFill patternType="solid">
        <fgColor rgb="FF99CCFF"/>
        <bgColor indexed="64"/>
      </patternFill>
    </fill>
    <fill>
      <patternFill patternType="solid">
        <fgColor rgb="FFF5FBFE"/>
        <bgColor indexed="64"/>
      </patternFill>
    </fill>
  </fills>
  <borders count="63">
    <border>
      <left/>
      <right/>
      <top/>
      <bottom/>
      <diagonal/>
    </border>
    <border>
      <left/>
      <right/>
      <top/>
      <bottom style="thin">
        <color auto="1"/>
      </bottom>
      <diagonal/>
    </border>
    <border>
      <left style="medium">
        <color rgb="FF0FA5AD"/>
      </left>
      <right/>
      <top style="medium">
        <color rgb="FF0FA5AD"/>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medium">
        <color rgb="FF006666"/>
      </right>
      <top/>
      <bottom/>
      <diagonal/>
    </border>
    <border>
      <left style="medium">
        <color rgb="FF006666"/>
      </left>
      <right/>
      <top/>
      <bottom/>
      <diagonal/>
    </border>
    <border>
      <left style="medium">
        <color rgb="FF006666"/>
      </left>
      <right/>
      <top style="medium">
        <color rgb="FF006666"/>
      </top>
      <bottom/>
      <diagonal/>
    </border>
    <border>
      <left style="thin">
        <color auto="1"/>
      </left>
      <right style="thin">
        <color auto="1"/>
      </right>
      <top/>
      <bottom style="thin">
        <color auto="1"/>
      </bottom>
      <diagonal/>
    </border>
    <border>
      <left/>
      <right/>
      <top style="medium">
        <color rgb="FF006666"/>
      </top>
      <bottom/>
      <diagonal/>
    </border>
    <border>
      <left/>
      <right style="medium">
        <color rgb="FF006666"/>
      </right>
      <top style="medium">
        <color rgb="FF006666"/>
      </top>
      <bottom/>
      <diagonal/>
    </border>
    <border>
      <left style="medium">
        <color rgb="FF006666"/>
      </left>
      <right/>
      <top/>
      <bottom style="medium">
        <color rgb="FF006666"/>
      </bottom>
      <diagonal/>
    </border>
    <border>
      <left/>
      <right/>
      <top/>
      <bottom style="medium">
        <color rgb="FF006666"/>
      </bottom>
      <diagonal/>
    </border>
    <border>
      <left/>
      <right style="medium">
        <color rgb="FF006666"/>
      </right>
      <top/>
      <bottom style="medium">
        <color rgb="FF006666"/>
      </bottom>
      <diagonal/>
    </border>
    <border>
      <left style="medium">
        <color rgb="FF006666"/>
      </left>
      <right/>
      <top style="medium">
        <color rgb="FF006666"/>
      </top>
      <bottom style="medium">
        <color rgb="FF006666"/>
      </bottom>
      <diagonal/>
    </border>
    <border>
      <left style="thin">
        <color rgb="FF006666"/>
      </left>
      <right style="thin">
        <color rgb="FF006666"/>
      </right>
      <top style="thin">
        <color rgb="FF006666"/>
      </top>
      <bottom style="thin">
        <color rgb="FF006666"/>
      </bottom>
      <diagonal/>
    </border>
    <border>
      <left/>
      <right/>
      <top/>
      <bottom style="thin">
        <color rgb="FF3844CA"/>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style="medium">
        <color rgb="FF3844CA"/>
      </left>
      <right style="medium">
        <color rgb="FF3844CA"/>
      </right>
      <top style="medium">
        <color rgb="FF3844CA"/>
      </top>
      <bottom style="medium">
        <color rgb="FF3844CA"/>
      </bottom>
      <diagonal/>
    </border>
    <border>
      <left style="medium">
        <color rgb="FF3844CA"/>
      </left>
      <right/>
      <top style="medium">
        <color rgb="FF3844CA"/>
      </top>
      <bottom style="medium">
        <color rgb="FF3844CA"/>
      </bottom>
      <diagonal/>
    </border>
    <border>
      <left/>
      <right/>
      <top style="medium">
        <color rgb="FF3844CA"/>
      </top>
      <bottom style="medium">
        <color rgb="FF3844CA"/>
      </bottom>
      <diagonal/>
    </border>
    <border>
      <left/>
      <right style="medium">
        <color rgb="FF3844CA"/>
      </right>
      <top style="medium">
        <color rgb="FF3844CA"/>
      </top>
      <bottom style="medium">
        <color rgb="FF3844CA"/>
      </bottom>
      <diagonal/>
    </border>
    <border>
      <left/>
      <right/>
      <top style="medium">
        <color rgb="FF3844CA"/>
      </top>
      <bottom style="medium">
        <color rgb="FF006666"/>
      </bottom>
      <diagonal/>
    </border>
    <border>
      <left/>
      <right/>
      <top style="thin">
        <color rgb="FF3844CA"/>
      </top>
      <bottom style="medium">
        <color rgb="FF3844CA"/>
      </bottom>
      <diagonal/>
    </border>
    <border>
      <left/>
      <right/>
      <top style="thin">
        <color rgb="FF3844CA"/>
      </top>
      <bottom style="thin">
        <color rgb="FF3844CA"/>
      </bottom>
      <diagonal/>
    </border>
    <border>
      <left/>
      <right/>
      <top style="medium">
        <color rgb="FF3844CA"/>
      </top>
      <bottom/>
      <diagonal/>
    </border>
    <border>
      <left/>
      <right/>
      <top style="medium">
        <color rgb="FF3844CA"/>
      </top>
      <bottom style="thin">
        <color rgb="FF3844CA"/>
      </bottom>
      <diagonal/>
    </border>
    <border>
      <left style="medium">
        <color rgb="FF3844CA"/>
      </left>
      <right/>
      <top/>
      <bottom style="medium">
        <color rgb="FF3844CA"/>
      </bottom>
      <diagonal/>
    </border>
    <border>
      <left/>
      <right/>
      <top/>
      <bottom style="medium">
        <color rgb="FF3844CA"/>
      </bottom>
      <diagonal/>
    </border>
    <border>
      <left/>
      <right style="medium">
        <color rgb="FF3844CA"/>
      </right>
      <top/>
      <bottom style="medium">
        <color rgb="FF3844CA"/>
      </bottom>
      <diagonal/>
    </border>
    <border>
      <left/>
      <right/>
      <top style="thin">
        <color rgb="FF3844CA"/>
      </top>
      <bottom/>
      <diagonal/>
    </border>
    <border>
      <left style="medium">
        <color rgb="FF3844CA"/>
      </left>
      <right style="medium">
        <color rgb="FF3844CA"/>
      </right>
      <top style="medium">
        <color rgb="FF3844CA"/>
      </top>
      <bottom/>
      <diagonal/>
    </border>
    <border>
      <left style="medium">
        <color rgb="FF3844CA"/>
      </left>
      <right style="medium">
        <color rgb="FF3844CA"/>
      </right>
      <top/>
      <bottom/>
      <diagonal/>
    </border>
    <border>
      <left style="medium">
        <color rgb="FF3844CA"/>
      </left>
      <right style="medium">
        <color rgb="FF3844CA"/>
      </right>
      <top/>
      <bottom style="medium">
        <color rgb="FF3844CA"/>
      </bottom>
      <diagonal/>
    </border>
    <border>
      <left style="thin">
        <color rgb="FF3844CA"/>
      </left>
      <right/>
      <top style="medium">
        <color rgb="FF3844CA"/>
      </top>
      <bottom/>
      <diagonal/>
    </border>
    <border>
      <left style="thin">
        <color rgb="FF3844CA"/>
      </left>
      <right/>
      <top/>
      <bottom/>
      <diagonal/>
    </border>
    <border>
      <left style="thin">
        <color rgb="FF3844CA"/>
      </left>
      <right/>
      <top style="medium">
        <color rgb="FF3844CA"/>
      </top>
      <bottom style="medium">
        <color rgb="FF3844CA"/>
      </bottom>
      <diagonal/>
    </border>
    <border>
      <left style="thin">
        <color rgb="FF3844CA"/>
      </left>
      <right/>
      <top style="thin">
        <color rgb="FF006666"/>
      </top>
      <bottom/>
      <diagonal/>
    </border>
    <border>
      <left style="thin">
        <color rgb="FF3844CA"/>
      </left>
      <right style="thin">
        <color auto="1"/>
      </right>
      <top style="thin">
        <color auto="1"/>
      </top>
      <bottom style="thin">
        <color auto="1"/>
      </bottom>
      <diagonal/>
    </border>
    <border>
      <left style="thin">
        <color rgb="FF3844CA"/>
      </left>
      <right style="thin">
        <color auto="1"/>
      </right>
      <top style="thin">
        <color auto="1"/>
      </top>
      <bottom/>
      <diagonal/>
    </border>
    <border>
      <left style="thin">
        <color rgb="FF3844CA"/>
      </left>
      <right style="thin">
        <color rgb="FF006666"/>
      </right>
      <top style="thin">
        <color rgb="FF006666"/>
      </top>
      <bottom style="thin">
        <color rgb="FF006666"/>
      </bottom>
      <diagonal/>
    </border>
    <border>
      <left style="thin">
        <color rgb="FF3844CA"/>
      </left>
      <right/>
      <top/>
      <bottom style="medium">
        <color rgb="FF006666"/>
      </bottom>
      <diagonal/>
    </border>
    <border>
      <left style="thin">
        <color rgb="FF3844CA"/>
      </left>
      <right/>
      <top/>
      <bottom style="medium">
        <color rgb="FF3844CA"/>
      </bottom>
      <diagonal/>
    </border>
    <border>
      <left style="medium">
        <color rgb="FF3844CA"/>
      </left>
      <right/>
      <top style="medium">
        <color rgb="FF3844CA"/>
      </top>
      <bottom style="medium">
        <color rgb="FF006666"/>
      </bottom>
      <diagonal/>
    </border>
    <border>
      <left/>
      <right style="medium">
        <color rgb="FF3844CA"/>
      </right>
      <top style="medium">
        <color rgb="FF3844CA"/>
      </top>
      <bottom style="medium">
        <color rgb="FF006666"/>
      </bottom>
      <diagonal/>
    </border>
    <border>
      <left style="medium">
        <color rgb="FF3844CA"/>
      </left>
      <right/>
      <top/>
      <bottom style="thin">
        <color theme="0" tint="-0.499984740745262"/>
      </bottom>
      <diagonal/>
    </border>
    <border>
      <left/>
      <right style="medium">
        <color rgb="FF3844CA"/>
      </right>
      <top/>
      <bottom style="thin">
        <color theme="0" tint="-0.499984740745262"/>
      </bottom>
      <diagonal/>
    </border>
    <border>
      <left style="medium">
        <color rgb="FF3844CA"/>
      </left>
      <right/>
      <top style="thin">
        <color theme="0" tint="-0.499984740745262"/>
      </top>
      <bottom style="thin">
        <color theme="0" tint="-0.499984740745262"/>
      </bottom>
      <diagonal/>
    </border>
    <border>
      <left/>
      <right style="medium">
        <color rgb="FF3844CA"/>
      </right>
      <top style="thin">
        <color theme="0" tint="-0.499984740745262"/>
      </top>
      <bottom style="thin">
        <color theme="0" tint="-0.499984740745262"/>
      </bottom>
      <diagonal/>
    </border>
    <border>
      <left/>
      <right/>
      <top/>
      <bottom style="thick">
        <color rgb="FF3844CA"/>
      </bottom>
      <diagonal/>
    </border>
  </borders>
  <cellStyleXfs count="4">
    <xf numFmtId="0" fontId="0" fillId="0" borderId="0"/>
    <xf numFmtId="9" fontId="1" fillId="0" borderId="0" applyFont="0" applyFill="0" applyBorder="0" applyAlignment="0" applyProtection="0"/>
    <xf numFmtId="0" fontId="8" fillId="0" borderId="0" applyNumberFormat="0" applyFill="0" applyBorder="0" applyAlignment="0" applyProtection="0"/>
    <xf numFmtId="44" fontId="1" fillId="0" borderId="0" applyFont="0" applyFill="0" applyBorder="0" applyAlignment="0" applyProtection="0"/>
  </cellStyleXfs>
  <cellXfs count="442">
    <xf numFmtId="0" fontId="0" fillId="0" borderId="0" xfId="0"/>
    <xf numFmtId="0" fontId="3" fillId="0" borderId="0" xfId="0" applyFont="1" applyAlignment="1">
      <alignment horizontal="center"/>
    </xf>
    <xf numFmtId="0" fontId="3" fillId="0" borderId="0" xfId="0" applyFont="1"/>
    <xf numFmtId="0" fontId="6" fillId="0" borderId="0" xfId="0" applyFont="1"/>
    <xf numFmtId="0" fontId="11" fillId="0" borderId="0" xfId="0" applyFont="1" applyAlignment="1">
      <alignment wrapText="1"/>
    </xf>
    <xf numFmtId="0" fontId="7" fillId="0" borderId="0" xfId="0" applyFont="1" applyProtection="1">
      <protection hidden="1"/>
    </xf>
    <xf numFmtId="0" fontId="7" fillId="0" borderId="0" xfId="0" applyFont="1" applyAlignment="1">
      <alignment wrapText="1"/>
    </xf>
    <xf numFmtId="0" fontId="12" fillId="0" borderId="0" xfId="0" applyFont="1"/>
    <xf numFmtId="0" fontId="3" fillId="0" borderId="0" xfId="0" applyFont="1" applyAlignment="1">
      <alignment wrapText="1"/>
    </xf>
    <xf numFmtId="0" fontId="14" fillId="0" borderId="3" xfId="0" applyFont="1" applyBorder="1" applyProtection="1">
      <protection locked="0"/>
    </xf>
    <xf numFmtId="0" fontId="14" fillId="0" borderId="3" xfId="0" applyFont="1" applyBorder="1" applyAlignment="1" applyProtection="1">
      <alignment horizontal="center" vertical="center" wrapText="1"/>
      <protection locked="0"/>
    </xf>
    <xf numFmtId="14" fontId="14" fillId="0" borderId="3" xfId="0" applyNumberFormat="1" applyFont="1" applyBorder="1" applyAlignment="1" applyProtection="1">
      <alignment horizontal="center" vertical="center" wrapText="1"/>
      <protection locked="0"/>
    </xf>
    <xf numFmtId="0" fontId="15" fillId="0" borderId="5" xfId="0" applyFont="1" applyBorder="1" applyAlignment="1">
      <alignment horizontal="left" vertical="center" wrapText="1"/>
    </xf>
    <xf numFmtId="0" fontId="15" fillId="0" borderId="1" xfId="0" applyFont="1" applyBorder="1" applyAlignment="1">
      <alignment horizontal="left" vertical="center" wrapText="1"/>
    </xf>
    <xf numFmtId="0" fontId="15" fillId="0" borderId="5" xfId="0" applyFont="1" applyBorder="1" applyAlignment="1">
      <alignment wrapText="1"/>
    </xf>
    <xf numFmtId="0" fontId="15" fillId="0" borderId="1" xfId="0" applyFont="1" applyBorder="1" applyAlignment="1">
      <alignment wrapText="1"/>
    </xf>
    <xf numFmtId="0" fontId="15" fillId="0" borderId="12" xfId="0" applyFont="1" applyBorder="1" applyAlignment="1">
      <alignment wrapText="1"/>
    </xf>
    <xf numFmtId="0" fontId="15" fillId="0" borderId="6" xfId="0" applyFont="1" applyBorder="1" applyAlignment="1">
      <alignment horizontal="center" wrapText="1"/>
    </xf>
    <xf numFmtId="0" fontId="15" fillId="0" borderId="13" xfId="0" applyFont="1" applyBorder="1" applyAlignment="1">
      <alignment horizontal="center" wrapText="1"/>
    </xf>
    <xf numFmtId="0" fontId="3" fillId="4" borderId="0" xfId="0" applyFont="1" applyFill="1" applyAlignment="1">
      <alignment horizontal="center" wrapText="1"/>
    </xf>
    <xf numFmtId="0" fontId="0" fillId="0" borderId="0" xfId="0" applyAlignment="1">
      <alignment wrapText="1"/>
    </xf>
    <xf numFmtId="0" fontId="3" fillId="4" borderId="0" xfId="0" applyFont="1" applyFill="1" applyAlignment="1">
      <alignment horizontal="center"/>
    </xf>
    <xf numFmtId="0" fontId="3" fillId="0" borderId="0" xfId="0" applyFont="1" applyAlignment="1">
      <alignment horizontal="left"/>
    </xf>
    <xf numFmtId="0" fontId="3" fillId="0" borderId="0" xfId="0" applyFont="1" applyAlignment="1">
      <alignment horizontal="center" vertical="center"/>
    </xf>
    <xf numFmtId="0" fontId="3" fillId="4" borderId="0" xfId="0" applyFont="1" applyFill="1"/>
    <xf numFmtId="0" fontId="3" fillId="4" borderId="14" xfId="0" applyFont="1" applyFill="1" applyBorder="1" applyAlignment="1">
      <alignment horizontal="center" vertical="center"/>
    </xf>
    <xf numFmtId="0" fontId="13" fillId="4" borderId="0" xfId="0" applyFont="1" applyFill="1"/>
    <xf numFmtId="0" fontId="14" fillId="4" borderId="0" xfId="0" applyFont="1" applyFill="1"/>
    <xf numFmtId="0" fontId="14" fillId="4" borderId="0" xfId="0" applyFont="1" applyFill="1" applyProtection="1">
      <protection locked="0"/>
    </xf>
    <xf numFmtId="0" fontId="14" fillId="4" borderId="0" xfId="0" applyFont="1" applyFill="1" applyAlignment="1">
      <alignment horizontal="center"/>
    </xf>
    <xf numFmtId="0" fontId="13" fillId="4" borderId="0" xfId="0" applyFont="1" applyFill="1" applyAlignment="1">
      <alignment horizontal="center"/>
    </xf>
    <xf numFmtId="0" fontId="3" fillId="0" borderId="23" xfId="0" applyFont="1" applyBorder="1"/>
    <xf numFmtId="0" fontId="3" fillId="0" borderId="24" xfId="0" applyFont="1" applyBorder="1"/>
    <xf numFmtId="0" fontId="3" fillId="4" borderId="15" xfId="0" applyFont="1" applyFill="1" applyBorder="1" applyAlignment="1">
      <alignment horizontal="center" vertical="center"/>
    </xf>
    <xf numFmtId="0" fontId="3" fillId="4" borderId="23" xfId="0" applyFont="1" applyFill="1" applyBorder="1" applyAlignment="1">
      <alignment wrapText="1"/>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Alignment="1">
      <alignment horizontal="center" vertical="center" wrapText="1"/>
    </xf>
    <xf numFmtId="9" fontId="3" fillId="0" borderId="0" xfId="1" applyFont="1" applyAlignment="1">
      <alignment horizontal="center"/>
    </xf>
    <xf numFmtId="0" fontId="3" fillId="2" borderId="0" xfId="0" applyFont="1" applyFill="1"/>
    <xf numFmtId="0" fontId="3" fillId="0" borderId="0" xfId="0" applyFont="1" applyAlignment="1">
      <alignment horizontal="center" wrapText="1"/>
    </xf>
    <xf numFmtId="9" fontId="3" fillId="0" borderId="0" xfId="1" applyFont="1" applyAlignment="1">
      <alignment horizontal="center" wrapText="1"/>
    </xf>
    <xf numFmtId="2" fontId="14" fillId="0" borderId="3" xfId="0" applyNumberFormat="1" applyFont="1" applyBorder="1" applyAlignment="1" applyProtection="1">
      <alignment horizontal="center" vertical="center" wrapText="1"/>
      <protection locked="0"/>
    </xf>
    <xf numFmtId="0" fontId="14" fillId="0" borderId="19" xfId="0" applyFont="1" applyBorder="1"/>
    <xf numFmtId="0" fontId="14" fillId="0" borderId="3" xfId="0" applyFont="1" applyBorder="1" applyAlignment="1" applyProtection="1">
      <alignment horizontal="center"/>
      <protection locked="0"/>
    </xf>
    <xf numFmtId="14" fontId="14" fillId="0" borderId="3" xfId="0" applyNumberFormat="1" applyFont="1" applyBorder="1" applyAlignment="1" applyProtection="1">
      <alignment horizontal="center"/>
      <protection locked="0"/>
    </xf>
    <xf numFmtId="14" fontId="14" fillId="0" borderId="19" xfId="0" applyNumberFormat="1" applyFont="1" applyBorder="1" applyAlignment="1">
      <alignment horizontal="center"/>
    </xf>
    <xf numFmtId="0" fontId="3" fillId="0" borderId="0" xfId="0" applyFont="1" applyAlignment="1">
      <alignment horizontal="left" vertical="center" wrapText="1"/>
    </xf>
    <xf numFmtId="2" fontId="3" fillId="0" borderId="0" xfId="0" applyNumberFormat="1" applyFont="1"/>
    <xf numFmtId="1" fontId="3" fillId="0" borderId="0" xfId="0" applyNumberFormat="1" applyFont="1" applyAlignment="1">
      <alignment vertical="center"/>
    </xf>
    <xf numFmtId="0" fontId="3" fillId="3" borderId="0" xfId="3" applyNumberFormat="1" applyFont="1" applyFill="1" applyBorder="1" applyAlignment="1" applyProtection="1">
      <alignment horizontal="center" vertical="center"/>
      <protection hidden="1"/>
    </xf>
    <xf numFmtId="166" fontId="3" fillId="0" borderId="0" xfId="0" applyNumberFormat="1" applyFont="1" applyAlignment="1" applyProtection="1">
      <alignment horizontal="center" vertical="center"/>
      <protection hidden="1"/>
    </xf>
    <xf numFmtId="0" fontId="8" fillId="0" borderId="0" xfId="2"/>
    <xf numFmtId="0" fontId="20" fillId="0" borderId="0" xfId="0" applyFont="1"/>
    <xf numFmtId="0" fontId="20" fillId="0" borderId="0" xfId="0" applyFont="1" applyAlignment="1">
      <alignment horizontal="center" wrapText="1"/>
    </xf>
    <xf numFmtId="0" fontId="20" fillId="0" borderId="0" xfId="0" applyFont="1" applyAlignment="1">
      <alignment horizontal="center"/>
    </xf>
    <xf numFmtId="14" fontId="20" fillId="0" borderId="0" xfId="0" applyNumberFormat="1" applyFont="1" applyAlignment="1">
      <alignment horizontal="center"/>
    </xf>
    <xf numFmtId="44" fontId="21" fillId="0" borderId="0" xfId="0" applyNumberFormat="1" applyFont="1" applyAlignment="1" applyProtection="1">
      <alignment horizontal="center" vertical="center"/>
      <protection hidden="1"/>
    </xf>
    <xf numFmtId="14" fontId="3" fillId="4" borderId="0" xfId="0" applyNumberFormat="1" applyFont="1" applyFill="1"/>
    <xf numFmtId="0" fontId="5" fillId="0" borderId="0" xfId="0" applyFont="1"/>
    <xf numFmtId="14" fontId="3" fillId="0" borderId="0" xfId="0" applyNumberFormat="1" applyFont="1"/>
    <xf numFmtId="44" fontId="3" fillId="0" borderId="0" xfId="0" applyNumberFormat="1" applyFont="1"/>
    <xf numFmtId="4" fontId="11" fillId="0" borderId="0" xfId="0" applyNumberFormat="1" applyFont="1" applyAlignment="1">
      <alignment wrapText="1"/>
    </xf>
    <xf numFmtId="4" fontId="11" fillId="0" borderId="0" xfId="0" applyNumberFormat="1" applyFont="1"/>
    <xf numFmtId="0" fontId="11" fillId="0" borderId="0" xfId="0" applyFont="1"/>
    <xf numFmtId="0" fontId="3" fillId="2" borderId="0" xfId="0" applyFont="1" applyFill="1" applyAlignment="1">
      <alignment horizontal="center"/>
    </xf>
    <xf numFmtId="44" fontId="3" fillId="4" borderId="0" xfId="0" applyNumberFormat="1" applyFont="1" applyFill="1" applyAlignment="1">
      <alignment horizontal="left"/>
    </xf>
    <xf numFmtId="166" fontId="3" fillId="2" borderId="0" xfId="0" applyNumberFormat="1" applyFont="1" applyFill="1" applyAlignment="1" applyProtection="1">
      <alignment horizontal="center" vertical="center"/>
      <protection hidden="1"/>
    </xf>
    <xf numFmtId="0" fontId="3" fillId="2" borderId="0" xfId="0" applyFont="1" applyFill="1" applyAlignment="1">
      <alignment horizontal="center" vertical="center"/>
    </xf>
    <xf numFmtId="0" fontId="2" fillId="4" borderId="0" xfId="0" applyFont="1" applyFill="1"/>
    <xf numFmtId="164" fontId="5" fillId="2" borderId="0" xfId="0" applyNumberFormat="1" applyFont="1" applyFill="1" applyAlignment="1" applyProtection="1">
      <alignment horizontal="center" vertical="center"/>
      <protection hidden="1"/>
    </xf>
    <xf numFmtId="0" fontId="5" fillId="2" borderId="0" xfId="3" applyNumberFormat="1" applyFont="1" applyFill="1" applyBorder="1" applyAlignment="1" applyProtection="1">
      <alignment horizontal="center" vertical="center"/>
      <protection hidden="1"/>
    </xf>
    <xf numFmtId="1" fontId="3" fillId="2" borderId="0" xfId="0" applyNumberFormat="1" applyFont="1" applyFill="1" applyAlignment="1" applyProtection="1">
      <alignment horizontal="center" vertical="center"/>
      <protection hidden="1"/>
    </xf>
    <xf numFmtId="0" fontId="3" fillId="0" borderId="12" xfId="0" applyFont="1" applyBorder="1" applyAlignment="1" applyProtection="1">
      <alignment horizontal="center" vertical="center"/>
      <protection hidden="1"/>
    </xf>
    <xf numFmtId="1" fontId="3" fillId="0" borderId="12" xfId="0" applyNumberFormat="1" applyFont="1" applyBorder="1" applyAlignment="1" applyProtection="1">
      <alignment horizontal="center" vertical="center"/>
      <protection hidden="1"/>
    </xf>
    <xf numFmtId="0" fontId="8" fillId="7" borderId="22" xfId="2" applyFill="1" applyBorder="1" applyAlignment="1">
      <alignment horizontal="left" vertical="center"/>
    </xf>
    <xf numFmtId="0" fontId="22" fillId="0" borderId="11" xfId="2" applyFont="1" applyBorder="1" applyAlignment="1">
      <alignment horizontal="center" vertical="center" wrapText="1"/>
    </xf>
    <xf numFmtId="0" fontId="22" fillId="0" borderId="5" xfId="2" applyFont="1" applyBorder="1" applyAlignment="1">
      <alignment vertical="center" wrapText="1"/>
    </xf>
    <xf numFmtId="0" fontId="22" fillId="0" borderId="1" xfId="2" applyFont="1" applyBorder="1" applyAlignment="1">
      <alignment vertical="center" wrapText="1"/>
    </xf>
    <xf numFmtId="0" fontId="23" fillId="0" borderId="12" xfId="0" applyFont="1" applyBorder="1" applyAlignment="1">
      <alignment vertical="center" wrapText="1"/>
    </xf>
    <xf numFmtId="0" fontId="8" fillId="0" borderId="5" xfId="2" applyBorder="1" applyAlignment="1">
      <alignment horizontal="left" vertical="center" wrapText="1"/>
    </xf>
    <xf numFmtId="0" fontId="8" fillId="0" borderId="1" xfId="2" applyBorder="1" applyAlignment="1">
      <alignment horizontal="left" vertical="center" wrapText="1"/>
    </xf>
    <xf numFmtId="44" fontId="3" fillId="2" borderId="0" xfId="0" applyNumberFormat="1" applyFont="1" applyFill="1" applyAlignment="1">
      <alignment horizontal="center"/>
    </xf>
    <xf numFmtId="164" fontId="7" fillId="4" borderId="0" xfId="0" applyNumberFormat="1" applyFont="1" applyFill="1" applyAlignment="1" applyProtection="1">
      <alignment vertical="center"/>
      <protection hidden="1"/>
    </xf>
    <xf numFmtId="164" fontId="3" fillId="4" borderId="0" xfId="0" applyNumberFormat="1" applyFont="1" applyFill="1" applyAlignment="1" applyProtection="1">
      <alignment vertical="center"/>
      <protection hidden="1"/>
    </xf>
    <xf numFmtId="0" fontId="3" fillId="4" borderId="0" xfId="0" applyFont="1" applyFill="1" applyAlignment="1" applyProtection="1">
      <alignment vertical="center" wrapText="1"/>
      <protection hidden="1"/>
    </xf>
    <xf numFmtId="164" fontId="5" fillId="4" borderId="0" xfId="0" applyNumberFormat="1" applyFont="1" applyFill="1" applyAlignment="1" applyProtection="1">
      <alignment vertical="center"/>
      <protection hidden="1"/>
    </xf>
    <xf numFmtId="0" fontId="5" fillId="4" borderId="0" xfId="0" applyFont="1" applyFill="1" applyAlignment="1" applyProtection="1">
      <alignment wrapText="1"/>
      <protection hidden="1"/>
    </xf>
    <xf numFmtId="0" fontId="3" fillId="4" borderId="0" xfId="0" applyFont="1" applyFill="1" applyAlignment="1" applyProtection="1">
      <alignment vertical="center"/>
      <protection hidden="1"/>
    </xf>
    <xf numFmtId="0" fontId="5" fillId="4" borderId="0" xfId="0" applyFont="1" applyFill="1" applyAlignment="1" applyProtection="1">
      <alignment vertical="center" wrapText="1"/>
      <protection hidden="1"/>
    </xf>
    <xf numFmtId="44" fontId="0" fillId="0" borderId="0" xfId="3" applyFont="1"/>
    <xf numFmtId="0" fontId="14" fillId="0" borderId="0" xfId="0" applyFont="1"/>
    <xf numFmtId="164" fontId="13" fillId="4" borderId="0" xfId="0" applyNumberFormat="1" applyFont="1" applyFill="1" applyAlignment="1" applyProtection="1">
      <alignment vertical="center" wrapText="1"/>
      <protection hidden="1"/>
    </xf>
    <xf numFmtId="44" fontId="27" fillId="4" borderId="0" xfId="0" applyNumberFormat="1" applyFont="1" applyFill="1" applyAlignment="1" applyProtection="1">
      <alignment vertical="center"/>
      <protection hidden="1"/>
    </xf>
    <xf numFmtId="2" fontId="3" fillId="0" borderId="0" xfId="0" applyNumberFormat="1" applyFont="1" applyAlignment="1">
      <alignment horizontal="center"/>
    </xf>
    <xf numFmtId="1" fontId="0" fillId="0" borderId="0" xfId="0" applyNumberFormat="1"/>
    <xf numFmtId="0" fontId="5" fillId="0" borderId="3" xfId="0" applyFont="1" applyBorder="1" applyAlignment="1">
      <alignment horizontal="center" vertical="center" wrapText="1"/>
    </xf>
    <xf numFmtId="167" fontId="3" fillId="0" borderId="3" xfId="0" applyNumberFormat="1" applyFont="1" applyBorder="1" applyAlignment="1">
      <alignment horizontal="center" vertical="center"/>
    </xf>
    <xf numFmtId="0" fontId="5" fillId="0" borderId="3" xfId="0" applyFont="1" applyBorder="1" applyAlignment="1">
      <alignment horizontal="center" vertical="center"/>
    </xf>
    <xf numFmtId="1" fontId="5" fillId="0" borderId="3" xfId="0" applyNumberFormat="1" applyFont="1" applyBorder="1" applyAlignment="1">
      <alignment horizontal="center" vertical="center"/>
    </xf>
    <xf numFmtId="0" fontId="5" fillId="0" borderId="26" xfId="0" applyFont="1" applyBorder="1" applyAlignment="1">
      <alignment horizontal="center" vertical="center" wrapText="1"/>
    </xf>
    <xf numFmtId="1" fontId="3" fillId="0" borderId="26" xfId="0" applyNumberFormat="1" applyFont="1" applyBorder="1" applyAlignment="1">
      <alignment horizontal="center"/>
    </xf>
    <xf numFmtId="1" fontId="5" fillId="0" borderId="26" xfId="0" applyNumberFormat="1" applyFont="1" applyBorder="1" applyAlignment="1">
      <alignment horizontal="center"/>
    </xf>
    <xf numFmtId="0" fontId="3" fillId="0" borderId="3" xfId="0" applyFont="1" applyBorder="1" applyAlignment="1">
      <alignment horizontal="center" vertical="center"/>
    </xf>
    <xf numFmtId="1" fontId="3" fillId="0" borderId="3" xfId="0" applyNumberFormat="1" applyFont="1" applyBorder="1" applyAlignment="1">
      <alignment horizontal="center" vertical="center"/>
    </xf>
    <xf numFmtId="44" fontId="1" fillId="0" borderId="0" xfId="3" applyFont="1"/>
    <xf numFmtId="44" fontId="14" fillId="0" borderId="0" xfId="3" applyFont="1"/>
    <xf numFmtId="164" fontId="3" fillId="0" borderId="12" xfId="0" applyNumberFormat="1" applyFont="1" applyBorder="1" applyAlignment="1" applyProtection="1">
      <alignment vertical="center"/>
      <protection hidden="1"/>
    </xf>
    <xf numFmtId="164" fontId="3" fillId="2" borderId="0" xfId="0" applyNumberFormat="1" applyFont="1" applyFill="1" applyAlignment="1" applyProtection="1">
      <alignment horizontal="right" vertical="center"/>
      <protection hidden="1"/>
    </xf>
    <xf numFmtId="164" fontId="10" fillId="2" borderId="0" xfId="0" applyNumberFormat="1" applyFont="1" applyFill="1" applyAlignment="1" applyProtection="1">
      <alignment horizontal="right" vertical="center"/>
      <protection hidden="1"/>
    </xf>
    <xf numFmtId="164" fontId="3" fillId="0" borderId="26" xfId="0" applyNumberFormat="1" applyFont="1" applyBorder="1"/>
    <xf numFmtId="164" fontId="3" fillId="0" borderId="26" xfId="0" applyNumberFormat="1" applyFont="1" applyBorder="1" applyAlignment="1">
      <alignment horizontal="right"/>
    </xf>
    <xf numFmtId="164" fontId="5" fillId="0" borderId="26" xfId="0" applyNumberFormat="1" applyFont="1" applyBorder="1" applyAlignment="1">
      <alignment horizontal="right"/>
    </xf>
    <xf numFmtId="164" fontId="3" fillId="0" borderId="3" xfId="3" applyNumberFormat="1" applyFont="1" applyBorder="1" applyAlignment="1">
      <alignment horizontal="right" vertical="center"/>
    </xf>
    <xf numFmtId="0" fontId="0" fillId="4" borderId="0" xfId="0" applyFill="1" applyProtection="1">
      <protection hidden="1"/>
    </xf>
    <xf numFmtId="44" fontId="0" fillId="4" borderId="0" xfId="3" applyFont="1" applyFill="1" applyProtection="1">
      <protection hidden="1"/>
    </xf>
    <xf numFmtId="0" fontId="9" fillId="4" borderId="0" xfId="0" applyFont="1" applyFill="1" applyProtection="1">
      <protection hidden="1"/>
    </xf>
    <xf numFmtId="0" fontId="5" fillId="4" borderId="0" xfId="0" applyFont="1" applyFill="1" applyAlignment="1" applyProtection="1">
      <alignment horizontal="center" wrapText="1"/>
      <protection hidden="1"/>
    </xf>
    <xf numFmtId="0" fontId="14" fillId="4" borderId="0" xfId="0" applyFont="1" applyFill="1" applyProtection="1">
      <protection hidden="1"/>
    </xf>
    <xf numFmtId="0" fontId="13" fillId="4" borderId="17" xfId="0" applyFont="1" applyFill="1" applyBorder="1" applyAlignment="1" applyProtection="1">
      <alignment horizontal="center" vertical="center"/>
      <protection hidden="1"/>
    </xf>
    <xf numFmtId="2" fontId="0" fillId="4" borderId="0" xfId="0" applyNumberFormat="1" applyFill="1" applyAlignment="1" applyProtection="1">
      <alignment horizontal="center" vertical="center"/>
      <protection hidden="1"/>
    </xf>
    <xf numFmtId="0" fontId="13" fillId="4" borderId="0" xfId="0" applyFont="1" applyFill="1" applyAlignment="1" applyProtection="1">
      <alignment horizontal="left" vertical="center"/>
      <protection hidden="1"/>
    </xf>
    <xf numFmtId="0" fontId="14" fillId="0" borderId="0" xfId="0" applyFont="1" applyProtection="1">
      <protection hidden="1"/>
    </xf>
    <xf numFmtId="0" fontId="14" fillId="0" borderId="0" xfId="0" applyFont="1" applyAlignment="1" applyProtection="1">
      <alignment horizontal="center" vertical="center"/>
      <protection hidden="1"/>
    </xf>
    <xf numFmtId="0" fontId="14" fillId="4" borderId="0" xfId="0" applyFont="1" applyFill="1" applyAlignment="1" applyProtection="1">
      <alignment horizontal="center" vertical="center" wrapText="1"/>
      <protection hidden="1"/>
    </xf>
    <xf numFmtId="0" fontId="29" fillId="4" borderId="0" xfId="0" applyFont="1" applyFill="1" applyProtection="1">
      <protection hidden="1"/>
    </xf>
    <xf numFmtId="14" fontId="14" fillId="4" borderId="0" xfId="0" applyNumberFormat="1" applyFont="1" applyFill="1" applyProtection="1">
      <protection hidden="1"/>
    </xf>
    <xf numFmtId="0" fontId="28" fillId="4" borderId="0" xfId="0" applyFont="1" applyFill="1" applyProtection="1">
      <protection hidden="1"/>
    </xf>
    <xf numFmtId="0" fontId="0" fillId="0" borderId="0" xfId="0" applyProtection="1">
      <protection hidden="1"/>
    </xf>
    <xf numFmtId="0" fontId="13" fillId="4" borderId="0" xfId="0" applyFont="1" applyFill="1" applyAlignment="1" applyProtection="1">
      <alignment horizontal="left" vertical="center" wrapText="1"/>
      <protection hidden="1"/>
    </xf>
    <xf numFmtId="0" fontId="14" fillId="4" borderId="0" xfId="0" applyFont="1" applyFill="1" applyAlignment="1" applyProtection="1">
      <alignment horizontal="center"/>
      <protection hidden="1"/>
    </xf>
    <xf numFmtId="0" fontId="13" fillId="4" borderId="0" xfId="0" applyFont="1" applyFill="1" applyProtection="1">
      <protection hidden="1"/>
    </xf>
    <xf numFmtId="0" fontId="2" fillId="0" borderId="0" xfId="0" applyFont="1"/>
    <xf numFmtId="0" fontId="3" fillId="0" borderId="0" xfId="0" applyFont="1" applyAlignment="1" applyProtection="1">
      <alignment vertical="center"/>
      <protection hidden="1"/>
    </xf>
    <xf numFmtId="0" fontId="5" fillId="0" borderId="0" xfId="0" applyFont="1" applyAlignment="1" applyProtection="1">
      <alignment horizontal="center"/>
      <protection hidden="1"/>
    </xf>
    <xf numFmtId="0" fontId="3" fillId="0" borderId="0" xfId="0" applyFont="1" applyProtection="1">
      <protection hidden="1"/>
    </xf>
    <xf numFmtId="164" fontId="5" fillId="0" borderId="0" xfId="0" applyNumberFormat="1" applyFont="1" applyAlignment="1" applyProtection="1">
      <alignment vertical="center"/>
      <protection hidden="1"/>
    </xf>
    <xf numFmtId="164" fontId="5" fillId="0" borderId="0" xfId="3" applyNumberFormat="1" applyFont="1" applyFill="1" applyBorder="1" applyAlignment="1" applyProtection="1">
      <alignment horizontal="right" vertical="center"/>
      <protection hidden="1"/>
    </xf>
    <xf numFmtId="0" fontId="2" fillId="0" borderId="0" xfId="0" applyFont="1" applyAlignment="1">
      <alignment wrapText="1"/>
    </xf>
    <xf numFmtId="0" fontId="5" fillId="0" borderId="0" xfId="0" applyFont="1" applyAlignment="1" applyProtection="1">
      <alignment vertical="center" wrapText="1"/>
      <protection hidden="1"/>
    </xf>
    <xf numFmtId="164" fontId="3" fillId="4" borderId="0" xfId="3" applyNumberFormat="1" applyFont="1" applyFill="1" applyBorder="1" applyAlignment="1" applyProtection="1">
      <alignment horizontal="right" vertical="center"/>
      <protection locked="0"/>
    </xf>
    <xf numFmtId="164" fontId="5" fillId="0" borderId="27" xfId="3" applyNumberFormat="1" applyFont="1" applyFill="1" applyBorder="1" applyAlignment="1" applyProtection="1">
      <alignment horizontal="right" vertical="center"/>
      <protection hidden="1"/>
    </xf>
    <xf numFmtId="164" fontId="3" fillId="4" borderId="29" xfId="3" applyNumberFormat="1" applyFont="1" applyFill="1" applyBorder="1" applyAlignment="1" applyProtection="1">
      <alignment horizontal="right" vertical="center"/>
      <protection locked="0"/>
    </xf>
    <xf numFmtId="14" fontId="3" fillId="4" borderId="29" xfId="3" applyNumberFormat="1" applyFont="1" applyFill="1" applyBorder="1" applyAlignment="1" applyProtection="1">
      <alignment horizontal="right" vertical="center" indent="1"/>
      <protection locked="0"/>
    </xf>
    <xf numFmtId="1" fontId="3" fillId="4" borderId="29" xfId="3" applyNumberFormat="1" applyFont="1" applyFill="1" applyBorder="1" applyAlignment="1" applyProtection="1">
      <alignment horizontal="right" vertical="center" indent="1"/>
      <protection locked="0"/>
    </xf>
    <xf numFmtId="164" fontId="3" fillId="4" borderId="28" xfId="3" applyNumberFormat="1" applyFont="1" applyFill="1" applyBorder="1" applyAlignment="1" applyProtection="1">
      <alignment horizontal="right" vertical="center"/>
      <protection locked="0"/>
    </xf>
    <xf numFmtId="164" fontId="3" fillId="4" borderId="30" xfId="3" applyNumberFormat="1" applyFont="1" applyFill="1" applyBorder="1" applyAlignment="1" applyProtection="1">
      <alignment horizontal="right" vertical="center"/>
      <protection locked="0"/>
    </xf>
    <xf numFmtId="0" fontId="23" fillId="0" borderId="0" xfId="0" applyFont="1"/>
    <xf numFmtId="0" fontId="3" fillId="0" borderId="0" xfId="0" applyFont="1" applyAlignment="1">
      <alignment horizontal="left" wrapText="1"/>
    </xf>
    <xf numFmtId="44" fontId="3" fillId="4" borderId="0" xfId="0" applyNumberFormat="1" applyFont="1" applyFill="1" applyAlignment="1">
      <alignment horizontal="center"/>
    </xf>
    <xf numFmtId="0" fontId="3" fillId="4" borderId="0" xfId="0" applyFont="1" applyFill="1" applyAlignment="1">
      <alignment wrapText="1"/>
    </xf>
    <xf numFmtId="0" fontId="3" fillId="4" borderId="0" xfId="0" applyFont="1" applyFill="1" applyAlignment="1">
      <alignment horizontal="left" wrapText="1"/>
    </xf>
    <xf numFmtId="0" fontId="13" fillId="0" borderId="0" xfId="0" applyFont="1" applyAlignment="1" applyProtection="1">
      <alignment vertical="center" wrapText="1"/>
      <protection hidden="1"/>
    </xf>
    <xf numFmtId="0" fontId="5" fillId="0" borderId="0" xfId="0" applyFont="1" applyAlignment="1">
      <alignment horizontal="center" vertical="center"/>
    </xf>
    <xf numFmtId="0" fontId="35" fillId="0" borderId="33" xfId="0" applyFont="1" applyBorder="1" applyAlignment="1" applyProtection="1">
      <alignment horizontal="center" wrapText="1"/>
      <protection hidden="1"/>
    </xf>
    <xf numFmtId="0" fontId="36" fillId="0" borderId="33" xfId="0" applyFont="1" applyBorder="1" applyAlignment="1" applyProtection="1">
      <alignment horizontal="left" vertical="center"/>
      <protection hidden="1"/>
    </xf>
    <xf numFmtId="0" fontId="35" fillId="0" borderId="33" xfId="0" applyFont="1" applyBorder="1" applyAlignment="1" applyProtection="1">
      <alignment horizontal="center"/>
      <protection hidden="1"/>
    </xf>
    <xf numFmtId="0" fontId="35" fillId="0" borderId="33" xfId="0" applyFont="1" applyBorder="1" applyAlignment="1" applyProtection="1">
      <alignment horizontal="right" indent="2"/>
      <protection hidden="1"/>
    </xf>
    <xf numFmtId="164" fontId="13" fillId="0" borderId="33" xfId="0" applyNumberFormat="1" applyFont="1" applyBorder="1" applyAlignment="1" applyProtection="1">
      <alignment vertical="center" wrapText="1"/>
      <protection hidden="1"/>
    </xf>
    <xf numFmtId="44" fontId="27" fillId="0" borderId="33" xfId="0" applyNumberFormat="1" applyFont="1" applyBorder="1" applyAlignment="1" applyProtection="1">
      <alignment vertical="center"/>
      <protection hidden="1"/>
    </xf>
    <xf numFmtId="0" fontId="0" fillId="4" borderId="33" xfId="0" applyFill="1" applyBorder="1" applyAlignment="1" applyProtection="1">
      <alignment wrapText="1"/>
      <protection hidden="1"/>
    </xf>
    <xf numFmtId="44" fontId="14" fillId="0" borderId="33" xfId="3" applyFont="1" applyFill="1" applyBorder="1" applyAlignment="1" applyProtection="1">
      <alignment horizontal="center" vertical="center"/>
      <protection hidden="1"/>
    </xf>
    <xf numFmtId="164" fontId="26" fillId="0" borderId="37" xfId="0" applyNumberFormat="1" applyFont="1" applyBorder="1" applyAlignment="1" applyProtection="1">
      <alignment vertical="center" wrapText="1"/>
      <protection hidden="1"/>
    </xf>
    <xf numFmtId="44" fontId="26" fillId="8" borderId="37" xfId="0" applyNumberFormat="1" applyFont="1" applyFill="1" applyBorder="1" applyAlignment="1" applyProtection="1">
      <alignment vertical="center"/>
      <protection locked="0"/>
    </xf>
    <xf numFmtId="164" fontId="14" fillId="0" borderId="37" xfId="0" applyNumberFormat="1" applyFont="1" applyBorder="1" applyAlignment="1" applyProtection="1">
      <alignment vertical="center" wrapText="1"/>
      <protection hidden="1"/>
    </xf>
    <xf numFmtId="14" fontId="26" fillId="8" borderId="37" xfId="0" applyNumberFormat="1" applyFont="1" applyFill="1" applyBorder="1" applyAlignment="1" applyProtection="1">
      <alignment vertical="center"/>
      <protection locked="0"/>
    </xf>
    <xf numFmtId="0" fontId="26" fillId="8" borderId="37" xfId="0" applyFont="1" applyFill="1" applyBorder="1" applyAlignment="1" applyProtection="1">
      <alignment horizontal="center" vertical="center"/>
      <protection locked="0"/>
    </xf>
    <xf numFmtId="0" fontId="14" fillId="0" borderId="37" xfId="0" applyFont="1" applyBorder="1" applyAlignment="1" applyProtection="1">
      <alignment vertical="center" wrapText="1"/>
      <protection hidden="1"/>
    </xf>
    <xf numFmtId="44" fontId="26" fillId="8" borderId="37" xfId="0" applyNumberFormat="1" applyFont="1" applyFill="1" applyBorder="1" applyAlignment="1" applyProtection="1">
      <alignment horizontal="center" vertical="center"/>
      <protection locked="0"/>
    </xf>
    <xf numFmtId="164" fontId="14" fillId="0" borderId="36" xfId="0" applyNumberFormat="1" applyFont="1" applyBorder="1" applyAlignment="1" applyProtection="1">
      <alignment vertical="center" wrapText="1"/>
      <protection hidden="1"/>
    </xf>
    <xf numFmtId="44" fontId="26" fillId="8" borderId="36" xfId="0" applyNumberFormat="1" applyFont="1" applyFill="1" applyBorder="1" applyAlignment="1" applyProtection="1">
      <alignment vertical="center"/>
      <protection locked="0"/>
    </xf>
    <xf numFmtId="44" fontId="27" fillId="3" borderId="0" xfId="0" applyNumberFormat="1" applyFont="1" applyFill="1" applyAlignment="1" applyProtection="1">
      <alignment vertical="center"/>
      <protection hidden="1"/>
    </xf>
    <xf numFmtId="0" fontId="13" fillId="0" borderId="39" xfId="0" applyFont="1" applyBorder="1" applyAlignment="1" applyProtection="1">
      <alignment horizontal="center" vertical="center" wrapText="1"/>
      <protection hidden="1"/>
    </xf>
    <xf numFmtId="14" fontId="14" fillId="8" borderId="37" xfId="0" applyNumberFormat="1" applyFont="1" applyFill="1" applyBorder="1" applyAlignment="1" applyProtection="1">
      <alignment horizontal="center" vertical="center"/>
      <protection hidden="1"/>
    </xf>
    <xf numFmtId="14" fontId="14" fillId="4" borderId="37" xfId="0" applyNumberFormat="1" applyFont="1" applyFill="1" applyBorder="1" applyAlignment="1" applyProtection="1">
      <alignment horizontal="right"/>
      <protection hidden="1"/>
    </xf>
    <xf numFmtId="0" fontId="14" fillId="4" borderId="37" xfId="0" applyFont="1" applyFill="1" applyBorder="1" applyAlignment="1" applyProtection="1">
      <alignment horizontal="center" vertical="center" wrapText="1"/>
      <protection hidden="1"/>
    </xf>
    <xf numFmtId="1" fontId="14" fillId="8" borderId="37" xfId="0" applyNumberFormat="1" applyFont="1" applyFill="1" applyBorder="1" applyAlignment="1" applyProtection="1">
      <alignment horizontal="center" vertical="center"/>
      <protection hidden="1"/>
    </xf>
    <xf numFmtId="0" fontId="14" fillId="8" borderId="43" xfId="0" applyFont="1" applyFill="1" applyBorder="1" applyAlignment="1" applyProtection="1">
      <alignment horizontal="center" vertical="center"/>
      <protection hidden="1"/>
    </xf>
    <xf numFmtId="0" fontId="14" fillId="4" borderId="43" xfId="0" applyFont="1" applyFill="1" applyBorder="1" applyAlignment="1" applyProtection="1">
      <alignment horizontal="center" vertical="center" wrapText="1"/>
      <protection hidden="1"/>
    </xf>
    <xf numFmtId="0" fontId="30" fillId="4" borderId="0" xfId="0" applyFont="1" applyFill="1" applyProtection="1">
      <protection hidden="1"/>
    </xf>
    <xf numFmtId="0" fontId="31" fillId="4" borderId="0" xfId="0" applyFont="1" applyFill="1" applyAlignment="1" applyProtection="1">
      <alignment horizontal="center" vertical="center" wrapText="1"/>
      <protection hidden="1"/>
    </xf>
    <xf numFmtId="14" fontId="32" fillId="4" borderId="0" xfId="0" applyNumberFormat="1" applyFont="1" applyFill="1" applyAlignment="1" applyProtection="1">
      <alignment horizontal="center"/>
      <protection hidden="1"/>
    </xf>
    <xf numFmtId="14" fontId="0" fillId="0" borderId="37" xfId="0" applyNumberFormat="1" applyBorder="1" applyProtection="1">
      <protection hidden="1"/>
    </xf>
    <xf numFmtId="0" fontId="0" fillId="0" borderId="37" xfId="0" applyBorder="1" applyProtection="1">
      <protection hidden="1"/>
    </xf>
    <xf numFmtId="0" fontId="0" fillId="0" borderId="37" xfId="0" applyBorder="1" applyAlignment="1" applyProtection="1">
      <alignment horizontal="center"/>
      <protection hidden="1"/>
    </xf>
    <xf numFmtId="0" fontId="14" fillId="0" borderId="37" xfId="0" applyFont="1" applyBorder="1" applyAlignment="1" applyProtection="1">
      <alignment horizontal="center" vertical="center" wrapText="1"/>
      <protection hidden="1"/>
    </xf>
    <xf numFmtId="0" fontId="14" fillId="0" borderId="37" xfId="0" applyFont="1" applyBorder="1" applyAlignment="1" applyProtection="1">
      <alignment horizontal="center" vertical="center"/>
      <protection hidden="1"/>
    </xf>
    <xf numFmtId="44" fontId="13" fillId="0" borderId="0" xfId="0" applyNumberFormat="1" applyFont="1" applyAlignment="1" applyProtection="1">
      <alignment vertical="center"/>
      <protection hidden="1"/>
    </xf>
    <xf numFmtId="0" fontId="14" fillId="4" borderId="38" xfId="0" applyFont="1" applyFill="1" applyBorder="1" applyProtection="1">
      <protection hidden="1"/>
    </xf>
    <xf numFmtId="0" fontId="14" fillId="4" borderId="38" xfId="0" applyFont="1" applyFill="1" applyBorder="1" applyAlignment="1" applyProtection="1">
      <alignment horizontal="center" vertical="center" wrapText="1"/>
      <protection hidden="1"/>
    </xf>
    <xf numFmtId="0" fontId="14" fillId="4" borderId="38" xfId="0" applyFont="1" applyFill="1" applyBorder="1" applyAlignment="1" applyProtection="1">
      <alignment horizontal="center" vertical="center"/>
      <protection hidden="1"/>
    </xf>
    <xf numFmtId="0" fontId="37" fillId="4" borderId="2" xfId="0" applyFont="1" applyFill="1" applyBorder="1" applyProtection="1">
      <protection hidden="1"/>
    </xf>
    <xf numFmtId="167" fontId="14" fillId="4" borderId="0" xfId="0" applyNumberFormat="1" applyFont="1" applyFill="1" applyAlignment="1" applyProtection="1">
      <alignment horizontal="center" vertical="center"/>
      <protection hidden="1"/>
    </xf>
    <xf numFmtId="0" fontId="13" fillId="0" borderId="37" xfId="0" applyFont="1" applyBorder="1" applyAlignment="1" applyProtection="1">
      <alignment horizontal="center" vertical="center" wrapText="1"/>
      <protection hidden="1"/>
    </xf>
    <xf numFmtId="167" fontId="14" fillId="3" borderId="37" xfId="0" applyNumberFormat="1" applyFont="1" applyFill="1" applyBorder="1" applyAlignment="1" applyProtection="1">
      <alignment horizontal="center" vertical="center"/>
      <protection hidden="1"/>
    </xf>
    <xf numFmtId="0" fontId="14" fillId="3" borderId="37" xfId="0" applyFont="1" applyFill="1" applyBorder="1" applyAlignment="1" applyProtection="1">
      <alignment horizontal="center" vertical="center"/>
      <protection hidden="1"/>
    </xf>
    <xf numFmtId="1" fontId="14" fillId="3" borderId="37" xfId="0" applyNumberFormat="1" applyFont="1" applyFill="1" applyBorder="1" applyAlignment="1" applyProtection="1">
      <alignment horizontal="center" vertical="center"/>
      <protection hidden="1"/>
    </xf>
    <xf numFmtId="0" fontId="13" fillId="0" borderId="37" xfId="0" applyFont="1" applyBorder="1" applyAlignment="1" applyProtection="1">
      <alignment horizontal="center" vertical="center"/>
      <protection hidden="1"/>
    </xf>
    <xf numFmtId="1" fontId="13" fillId="0" borderId="37" xfId="0" applyNumberFormat="1" applyFont="1" applyBorder="1" applyAlignment="1" applyProtection="1">
      <alignment horizontal="center" vertical="center"/>
      <protection hidden="1"/>
    </xf>
    <xf numFmtId="167" fontId="14" fillId="0" borderId="37" xfId="0" applyNumberFormat="1" applyFont="1" applyBorder="1" applyAlignment="1" applyProtection="1">
      <alignment horizontal="center" vertical="center"/>
      <protection hidden="1"/>
    </xf>
    <xf numFmtId="1" fontId="14" fillId="0" borderId="37" xfId="0" applyNumberFormat="1" applyFont="1" applyBorder="1" applyAlignment="1" applyProtection="1">
      <alignment horizontal="center" vertical="center"/>
      <protection hidden="1"/>
    </xf>
    <xf numFmtId="0" fontId="14" fillId="0" borderId="37" xfId="0" applyFont="1" applyBorder="1" applyAlignment="1" applyProtection="1">
      <alignment horizontal="center"/>
      <protection hidden="1"/>
    </xf>
    <xf numFmtId="1" fontId="14" fillId="0" borderId="37" xfId="0" applyNumberFormat="1" applyFont="1" applyBorder="1" applyAlignment="1" applyProtection="1">
      <alignment horizontal="center"/>
      <protection hidden="1"/>
    </xf>
    <xf numFmtId="1" fontId="13" fillId="0" borderId="37" xfId="0" applyNumberFormat="1" applyFont="1" applyBorder="1" applyAlignment="1" applyProtection="1">
      <alignment horizontal="center"/>
      <protection hidden="1"/>
    </xf>
    <xf numFmtId="44" fontId="14" fillId="0" borderId="37" xfId="0" applyNumberFormat="1" applyFont="1" applyBorder="1" applyProtection="1">
      <protection hidden="1"/>
    </xf>
    <xf numFmtId="0" fontId="14" fillId="0" borderId="37" xfId="0" applyFont="1" applyBorder="1" applyProtection="1">
      <protection hidden="1"/>
    </xf>
    <xf numFmtId="0" fontId="36" fillId="0" borderId="36" xfId="0" applyFont="1" applyBorder="1" applyAlignment="1" applyProtection="1">
      <alignment horizontal="left" vertical="center"/>
      <protection hidden="1"/>
    </xf>
    <xf numFmtId="0" fontId="3" fillId="10" borderId="31" xfId="0" applyFont="1" applyFill="1" applyBorder="1"/>
    <xf numFmtId="0" fontId="14" fillId="10" borderId="31" xfId="0" applyFont="1" applyFill="1" applyBorder="1"/>
    <xf numFmtId="0" fontId="8" fillId="7" borderId="17" xfId="2" applyFill="1" applyBorder="1" applyAlignment="1">
      <alignment horizontal="left" vertical="center"/>
    </xf>
    <xf numFmtId="0" fontId="3" fillId="0" borderId="16" xfId="0" applyFont="1" applyBorder="1"/>
    <xf numFmtId="0" fontId="3" fillId="4" borderId="38" xfId="0" applyFont="1" applyFill="1" applyBorder="1"/>
    <xf numFmtId="0" fontId="3" fillId="10" borderId="32" xfId="0" applyFont="1" applyFill="1" applyBorder="1"/>
    <xf numFmtId="0" fontId="8" fillId="0" borderId="0" xfId="2" applyBorder="1" applyAlignment="1">
      <alignment horizontal="left" vertical="center" wrapText="1"/>
    </xf>
    <xf numFmtId="0" fontId="15" fillId="0" borderId="0" xfId="0" applyFont="1" applyAlignment="1">
      <alignment horizontal="left" vertical="center" wrapText="1"/>
    </xf>
    <xf numFmtId="0" fontId="8" fillId="0" borderId="0" xfId="2" applyFill="1" applyBorder="1" applyAlignment="1">
      <alignment horizontal="left" vertical="center" wrapText="1"/>
    </xf>
    <xf numFmtId="0" fontId="14" fillId="4" borderId="0" xfId="0" applyFont="1" applyFill="1" applyAlignment="1">
      <alignment wrapText="1"/>
    </xf>
    <xf numFmtId="0" fontId="0" fillId="4" borderId="41" xfId="0" applyFill="1" applyBorder="1"/>
    <xf numFmtId="0" fontId="3" fillId="10" borderId="34" xfId="0" applyFont="1" applyFill="1" applyBorder="1"/>
    <xf numFmtId="0" fontId="14" fillId="10" borderId="34" xfId="0" applyFont="1" applyFill="1" applyBorder="1"/>
    <xf numFmtId="0" fontId="37" fillId="4" borderId="38" xfId="0" applyFont="1" applyFill="1" applyBorder="1" applyProtection="1">
      <protection hidden="1"/>
    </xf>
    <xf numFmtId="165" fontId="4" fillId="10" borderId="32" xfId="0" applyNumberFormat="1" applyFont="1" applyFill="1" applyBorder="1" applyProtection="1">
      <protection hidden="1"/>
    </xf>
    <xf numFmtId="0" fontId="42" fillId="0" borderId="0" xfId="0" applyFont="1" applyAlignment="1">
      <alignment horizontal="center" vertical="center"/>
    </xf>
    <xf numFmtId="0" fontId="41" fillId="0" borderId="0" xfId="0" applyFont="1"/>
    <xf numFmtId="0" fontId="41" fillId="0" borderId="0" xfId="0" applyFont="1" applyAlignment="1">
      <alignment horizontal="center"/>
    </xf>
    <xf numFmtId="0" fontId="42" fillId="0" borderId="0" xfId="0" applyFont="1"/>
    <xf numFmtId="0" fontId="17" fillId="0" borderId="0" xfId="2" applyFont="1" applyFill="1" applyBorder="1"/>
    <xf numFmtId="0" fontId="41" fillId="4" borderId="38" xfId="0" applyFont="1" applyFill="1" applyBorder="1"/>
    <xf numFmtId="14" fontId="3" fillId="4" borderId="0" xfId="0" applyNumberFormat="1" applyFont="1" applyFill="1" applyAlignment="1">
      <alignment horizontal="right"/>
    </xf>
    <xf numFmtId="0" fontId="5" fillId="4" borderId="0" xfId="0" applyFont="1" applyFill="1"/>
    <xf numFmtId="164" fontId="3" fillId="4" borderId="0" xfId="0" applyNumberFormat="1" applyFont="1" applyFill="1" applyAlignment="1">
      <alignment horizontal="right"/>
    </xf>
    <xf numFmtId="0" fontId="0" fillId="4" borderId="0" xfId="0" applyFill="1"/>
    <xf numFmtId="164" fontId="0" fillId="4" borderId="0" xfId="0" applyNumberFormat="1" applyFill="1" applyAlignment="1">
      <alignment horizontal="right"/>
    </xf>
    <xf numFmtId="1" fontId="5" fillId="2" borderId="0" xfId="0" applyNumberFormat="1" applyFont="1" applyFill="1" applyAlignment="1">
      <alignment horizontal="center" vertical="center"/>
    </xf>
    <xf numFmtId="0" fontId="3" fillId="4" borderId="41" xfId="0" applyFont="1" applyFill="1" applyBorder="1"/>
    <xf numFmtId="0" fontId="41" fillId="4" borderId="47" xfId="0" applyFont="1" applyFill="1" applyBorder="1"/>
    <xf numFmtId="0" fontId="3" fillId="4" borderId="48" xfId="0" applyFont="1" applyFill="1" applyBorder="1"/>
    <xf numFmtId="0" fontId="3" fillId="4" borderId="48" xfId="0" applyFont="1" applyFill="1" applyBorder="1" applyAlignment="1">
      <alignment horizontal="center" wrapText="1"/>
    </xf>
    <xf numFmtId="0" fontId="3" fillId="2" borderId="48" xfId="0" applyFont="1" applyFill="1" applyBorder="1"/>
    <xf numFmtId="0" fontId="3" fillId="4" borderId="48" xfId="0" applyFont="1" applyFill="1" applyBorder="1" applyAlignment="1">
      <alignment wrapText="1"/>
    </xf>
    <xf numFmtId="0" fontId="3" fillId="4" borderId="48" xfId="0" applyFont="1" applyFill="1" applyBorder="1" applyAlignment="1">
      <alignment horizontal="center"/>
    </xf>
    <xf numFmtId="0" fontId="8" fillId="4" borderId="48" xfId="2" applyFill="1" applyBorder="1"/>
    <xf numFmtId="0" fontId="3" fillId="4" borderId="48" xfId="0" applyFont="1" applyFill="1" applyBorder="1" applyAlignment="1">
      <alignment horizontal="left"/>
    </xf>
    <xf numFmtId="44" fontId="3" fillId="8" borderId="48" xfId="0" applyNumberFormat="1" applyFont="1" applyFill="1" applyBorder="1" applyAlignment="1">
      <alignment horizontal="center"/>
    </xf>
    <xf numFmtId="4" fontId="3" fillId="4" borderId="48" xfId="0" applyNumberFormat="1" applyFont="1" applyFill="1" applyBorder="1"/>
    <xf numFmtId="14" fontId="3" fillId="8" borderId="48" xfId="0" applyNumberFormat="1" applyFont="1" applyFill="1" applyBorder="1"/>
    <xf numFmtId="14" fontId="3" fillId="4" borderId="48" xfId="0" applyNumberFormat="1" applyFont="1" applyFill="1" applyBorder="1"/>
    <xf numFmtId="0" fontId="3" fillId="8" borderId="48" xfId="0" applyFont="1" applyFill="1" applyBorder="1"/>
    <xf numFmtId="0" fontId="7" fillId="2" borderId="48" xfId="0" quotePrefix="1" applyFont="1" applyFill="1" applyBorder="1" applyAlignment="1">
      <alignment horizontal="center" wrapText="1"/>
    </xf>
    <xf numFmtId="3" fontId="7" fillId="2" borderId="48" xfId="0" applyNumberFormat="1" applyFont="1" applyFill="1" applyBorder="1"/>
    <xf numFmtId="3" fontId="3" fillId="4" borderId="48" xfId="0" applyNumberFormat="1" applyFont="1" applyFill="1" applyBorder="1"/>
    <xf numFmtId="1" fontId="3" fillId="8" borderId="48" xfId="0" applyNumberFormat="1" applyFont="1" applyFill="1" applyBorder="1" applyAlignment="1">
      <alignment wrapText="1"/>
    </xf>
    <xf numFmtId="0" fontId="3" fillId="2" borderId="48" xfId="0" quotePrefix="1" applyFont="1" applyFill="1" applyBorder="1" applyAlignment="1">
      <alignment horizontal="center"/>
    </xf>
    <xf numFmtId="44" fontId="3" fillId="8" borderId="48" xfId="0" applyNumberFormat="1" applyFont="1" applyFill="1" applyBorder="1"/>
    <xf numFmtId="44" fontId="3" fillId="2" borderId="48" xfId="0" applyNumberFormat="1" applyFont="1" applyFill="1" applyBorder="1"/>
    <xf numFmtId="0" fontId="3" fillId="2" borderId="48" xfId="0" applyFont="1" applyFill="1" applyBorder="1" applyAlignment="1">
      <alignment horizontal="left"/>
    </xf>
    <xf numFmtId="2" fontId="3" fillId="2" borderId="48" xfId="0" applyNumberFormat="1" applyFont="1" applyFill="1" applyBorder="1" applyAlignment="1">
      <alignment horizontal="right"/>
    </xf>
    <xf numFmtId="0" fontId="4" fillId="4" borderId="48" xfId="0" applyFont="1" applyFill="1" applyBorder="1"/>
    <xf numFmtId="0" fontId="3" fillId="2" borderId="50" xfId="3" applyNumberFormat="1" applyFont="1" applyFill="1" applyBorder="1" applyAlignment="1" applyProtection="1">
      <alignment horizontal="center" vertical="center"/>
      <protection hidden="1"/>
    </xf>
    <xf numFmtId="0" fontId="3" fillId="4" borderId="48" xfId="3" applyNumberFormat="1" applyFont="1" applyFill="1" applyBorder="1" applyAlignment="1" applyProtection="1">
      <alignment horizontal="left" vertical="center"/>
      <protection hidden="1"/>
    </xf>
    <xf numFmtId="164" fontId="5" fillId="2" borderId="48" xfId="0" applyNumberFormat="1" applyFont="1" applyFill="1" applyBorder="1" applyAlignment="1" applyProtection="1">
      <alignment horizontal="center" vertical="center"/>
      <protection hidden="1"/>
    </xf>
    <xf numFmtId="0" fontId="3" fillId="2" borderId="48" xfId="3" applyNumberFormat="1" applyFont="1" applyFill="1" applyBorder="1" applyAlignment="1" applyProtection="1">
      <alignment horizontal="center" vertical="center"/>
      <protection hidden="1"/>
    </xf>
    <xf numFmtId="166" fontId="3" fillId="2" borderId="48" xfId="3" applyNumberFormat="1" applyFont="1" applyFill="1" applyBorder="1" applyAlignment="1" applyProtection="1">
      <alignment horizontal="center" vertical="center"/>
      <protection hidden="1"/>
    </xf>
    <xf numFmtId="166" fontId="3" fillId="2" borderId="48" xfId="0" applyNumberFormat="1" applyFont="1" applyFill="1" applyBorder="1" applyAlignment="1" applyProtection="1">
      <alignment horizontal="center" vertical="center"/>
      <protection hidden="1"/>
    </xf>
    <xf numFmtId="14" fontId="3" fillId="2" borderId="48" xfId="0" applyNumberFormat="1" applyFont="1" applyFill="1" applyBorder="1" applyAlignment="1">
      <alignment horizontal="center" vertical="center"/>
    </xf>
    <xf numFmtId="0" fontId="3" fillId="2" borderId="48" xfId="0" applyFont="1" applyFill="1" applyBorder="1" applyAlignment="1">
      <alignment horizontal="center" vertical="center"/>
    </xf>
    <xf numFmtId="1" fontId="3" fillId="2" borderId="48" xfId="0" applyNumberFormat="1" applyFont="1" applyFill="1" applyBorder="1" applyAlignment="1">
      <alignment horizontal="center" vertical="center"/>
    </xf>
    <xf numFmtId="0" fontId="5" fillId="0" borderId="51" xfId="0" applyFont="1" applyBorder="1" applyAlignment="1">
      <alignment horizontal="center" vertical="center" wrapText="1"/>
    </xf>
    <xf numFmtId="167" fontId="3" fillId="0" borderId="51" xfId="0" applyNumberFormat="1" applyFont="1" applyBorder="1" applyAlignment="1">
      <alignment horizontal="center" vertical="center"/>
    </xf>
    <xf numFmtId="167" fontId="3" fillId="4" borderId="52" xfId="0" applyNumberFormat="1" applyFont="1" applyFill="1" applyBorder="1" applyAlignment="1">
      <alignment horizontal="center" vertical="center"/>
    </xf>
    <xf numFmtId="0" fontId="0" fillId="4" borderId="48" xfId="0" applyFill="1" applyBorder="1"/>
    <xf numFmtId="0" fontId="5" fillId="0" borderId="53" xfId="0" applyFont="1" applyBorder="1" applyAlignment="1">
      <alignment horizontal="center" vertical="center" wrapText="1"/>
    </xf>
    <xf numFmtId="0" fontId="3" fillId="0" borderId="53" xfId="0" applyFont="1" applyBorder="1" applyAlignment="1">
      <alignment horizontal="center"/>
    </xf>
    <xf numFmtId="0" fontId="3" fillId="4" borderId="54" xfId="0" applyFont="1" applyFill="1" applyBorder="1" applyAlignment="1">
      <alignment wrapText="1"/>
    </xf>
    <xf numFmtId="0" fontId="3" fillId="4" borderId="55" xfId="0" applyFont="1" applyFill="1" applyBorder="1"/>
    <xf numFmtId="0" fontId="8" fillId="0" borderId="33" xfId="2" applyFill="1" applyBorder="1"/>
    <xf numFmtId="0" fontId="5" fillId="4" borderId="0" xfId="0" applyFont="1" applyFill="1" applyAlignment="1">
      <alignment wrapText="1"/>
    </xf>
    <xf numFmtId="0" fontId="5" fillId="4" borderId="0" xfId="0" applyFont="1" applyFill="1" applyAlignment="1">
      <alignment horizontal="right"/>
    </xf>
    <xf numFmtId="0" fontId="5" fillId="4" borderId="0" xfId="0" applyFont="1" applyFill="1" applyAlignment="1">
      <alignment horizontal="right" wrapText="1"/>
    </xf>
    <xf numFmtId="0" fontId="10" fillId="0" borderId="0" xfId="2" applyFont="1" applyFill="1" applyBorder="1"/>
    <xf numFmtId="0" fontId="5" fillId="3" borderId="0" xfId="0" applyFont="1" applyFill="1" applyAlignment="1">
      <alignment horizontal="right" vertical="center"/>
    </xf>
    <xf numFmtId="0" fontId="5" fillId="0" borderId="0" xfId="0" applyFont="1" applyAlignment="1">
      <alignment horizontal="right" wrapText="1"/>
    </xf>
    <xf numFmtId="0" fontId="3" fillId="0" borderId="0" xfId="0" applyFont="1" applyAlignment="1">
      <alignment horizontal="right" wrapText="1"/>
    </xf>
    <xf numFmtId="0" fontId="25" fillId="0" borderId="0" xfId="2" applyFont="1" applyFill="1" applyBorder="1"/>
    <xf numFmtId="0" fontId="11" fillId="4" borderId="0" xfId="0" applyFont="1" applyFill="1"/>
    <xf numFmtId="0" fontId="17" fillId="0" borderId="23" xfId="2" applyFont="1" applyFill="1" applyBorder="1"/>
    <xf numFmtId="0" fontId="35" fillId="0" borderId="35" xfId="0" applyFont="1" applyBorder="1" applyAlignment="1">
      <alignment horizontal="center" vertical="center"/>
    </xf>
    <xf numFmtId="0" fontId="35" fillId="0" borderId="57" xfId="0" applyFont="1" applyBorder="1" applyAlignment="1">
      <alignment horizontal="center" vertical="center"/>
    </xf>
    <xf numFmtId="0" fontId="3" fillId="4" borderId="58" xfId="0" applyFont="1" applyFill="1" applyBorder="1" applyAlignment="1">
      <alignment wrapText="1"/>
    </xf>
    <xf numFmtId="0" fontId="3" fillId="4" borderId="59" xfId="0" applyFont="1" applyFill="1" applyBorder="1" applyAlignment="1">
      <alignment horizontal="center" vertical="center"/>
    </xf>
    <xf numFmtId="0" fontId="3" fillId="4" borderId="60" xfId="0" applyFont="1" applyFill="1" applyBorder="1" applyAlignment="1">
      <alignment wrapText="1"/>
    </xf>
    <xf numFmtId="0" fontId="3" fillId="4" borderId="61" xfId="0" applyFont="1" applyFill="1" applyBorder="1" applyAlignment="1">
      <alignment horizontal="center" vertical="center"/>
    </xf>
    <xf numFmtId="0" fontId="3" fillId="4" borderId="60" xfId="0" applyFont="1" applyFill="1" applyBorder="1" applyAlignment="1">
      <alignment horizontal="left" wrapText="1"/>
    </xf>
    <xf numFmtId="0" fontId="3" fillId="4" borderId="40" xfId="0" applyFont="1" applyFill="1" applyBorder="1" applyAlignment="1">
      <alignment horizontal="left" wrapText="1"/>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5" fillId="0" borderId="25" xfId="0" applyFont="1" applyBorder="1" applyAlignment="1">
      <alignment vertical="center"/>
    </xf>
    <xf numFmtId="0" fontId="35" fillId="0" borderId="25" xfId="0" applyFont="1" applyBorder="1" applyAlignment="1">
      <alignment vertical="center" wrapText="1"/>
    </xf>
    <xf numFmtId="0" fontId="35" fillId="0" borderId="18" xfId="0" applyFont="1" applyBorder="1" applyAlignment="1">
      <alignment vertical="center"/>
    </xf>
    <xf numFmtId="0" fontId="42" fillId="0" borderId="20" xfId="0" applyFont="1" applyBorder="1" applyAlignment="1">
      <alignment vertical="center"/>
    </xf>
    <xf numFmtId="0" fontId="42" fillId="0" borderId="21" xfId="0" applyFont="1" applyBorder="1" applyAlignment="1">
      <alignment vertical="center"/>
    </xf>
    <xf numFmtId="0" fontId="35" fillId="0" borderId="56" xfId="0" applyFont="1" applyBorder="1" applyAlignment="1">
      <alignment vertical="center"/>
    </xf>
    <xf numFmtId="0" fontId="35" fillId="0" borderId="31" xfId="0" applyFont="1" applyBorder="1" applyAlignment="1">
      <alignment vertical="center"/>
    </xf>
    <xf numFmtId="0" fontId="3" fillId="5" borderId="31" xfId="0" applyFont="1" applyFill="1" applyBorder="1" applyAlignment="1">
      <alignment horizontal="left" vertical="center"/>
    </xf>
    <xf numFmtId="0" fontId="2" fillId="5" borderId="31" xfId="0" applyFont="1" applyFill="1" applyBorder="1" applyAlignment="1">
      <alignment horizontal="left" vertical="center"/>
    </xf>
    <xf numFmtId="0" fontId="3" fillId="4" borderId="31" xfId="0" applyFont="1" applyFill="1" applyBorder="1" applyAlignment="1">
      <alignment horizontal="left" vertical="center"/>
    </xf>
    <xf numFmtId="0" fontId="2" fillId="10" borderId="31" xfId="0" applyFont="1" applyFill="1" applyBorder="1" applyAlignment="1">
      <alignment horizontal="left" vertical="center"/>
    </xf>
    <xf numFmtId="0" fontId="4" fillId="6" borderId="31" xfId="0" applyFont="1" applyFill="1" applyBorder="1" applyAlignment="1">
      <alignment vertical="center" wrapText="1"/>
    </xf>
    <xf numFmtId="0" fontId="3" fillId="11" borderId="0" xfId="0" applyFont="1" applyFill="1" applyAlignment="1">
      <alignment horizontal="center" wrapText="1"/>
    </xf>
    <xf numFmtId="0" fontId="35" fillId="0" borderId="0" xfId="0" applyFont="1" applyAlignment="1">
      <alignment horizontal="right"/>
    </xf>
    <xf numFmtId="164" fontId="3" fillId="2" borderId="48" xfId="3" applyNumberFormat="1" applyFont="1" applyFill="1" applyBorder="1" applyAlignment="1">
      <alignment horizontal="center" vertical="center"/>
    </xf>
    <xf numFmtId="164" fontId="3" fillId="0" borderId="11" xfId="3" applyNumberFormat="1" applyFont="1" applyBorder="1" applyAlignment="1">
      <alignment horizontal="right" vertical="center"/>
    </xf>
    <xf numFmtId="2" fontId="5" fillId="0" borderId="3" xfId="0" applyNumberFormat="1" applyFont="1" applyBorder="1"/>
    <xf numFmtId="2" fontId="3" fillId="0" borderId="3" xfId="0" applyNumberFormat="1" applyFont="1" applyBorder="1"/>
    <xf numFmtId="0" fontId="3" fillId="0" borderId="3" xfId="0" applyFont="1" applyBorder="1"/>
    <xf numFmtId="0" fontId="2" fillId="0" borderId="3" xfId="0" applyFont="1" applyBorder="1"/>
    <xf numFmtId="164" fontId="3" fillId="0" borderId="0" xfId="3" applyNumberFormat="1" applyFont="1" applyBorder="1" applyAlignment="1">
      <alignment horizontal="right" vertical="center"/>
    </xf>
    <xf numFmtId="2" fontId="7" fillId="0" borderId="3" xfId="0" applyNumberFormat="1" applyFont="1" applyBorder="1"/>
    <xf numFmtId="164" fontId="14" fillId="8" borderId="37" xfId="3" applyNumberFormat="1" applyFont="1" applyFill="1" applyBorder="1" applyAlignment="1" applyProtection="1">
      <alignment horizontal="center" vertical="center"/>
      <protection hidden="1"/>
    </xf>
    <xf numFmtId="164" fontId="14" fillId="3" borderId="37" xfId="3" applyNumberFormat="1" applyFont="1" applyFill="1" applyBorder="1" applyAlignment="1" applyProtection="1">
      <alignment horizontal="right" vertical="center"/>
      <protection hidden="1"/>
    </xf>
    <xf numFmtId="164" fontId="26" fillId="0" borderId="37" xfId="3" applyNumberFormat="1" applyFont="1" applyBorder="1" applyAlignment="1" applyProtection="1">
      <alignment horizontal="right" vertical="center"/>
      <protection hidden="1"/>
    </xf>
    <xf numFmtId="164" fontId="14" fillId="0" borderId="37" xfId="3" applyNumberFormat="1" applyFont="1" applyBorder="1" applyAlignment="1" applyProtection="1">
      <alignment horizontal="right" vertical="center"/>
      <protection hidden="1"/>
    </xf>
    <xf numFmtId="164" fontId="14" fillId="0" borderId="43" xfId="3" applyNumberFormat="1" applyFont="1" applyBorder="1" applyAlignment="1" applyProtection="1">
      <alignment horizontal="right" vertical="center"/>
      <protection hidden="1"/>
    </xf>
    <xf numFmtId="164" fontId="14" fillId="0" borderId="27" xfId="3" applyNumberFormat="1" applyFont="1" applyBorder="1" applyAlignment="1" applyProtection="1">
      <alignment horizontal="right" vertical="center"/>
      <protection hidden="1"/>
    </xf>
    <xf numFmtId="164" fontId="13" fillId="0" borderId="37" xfId="3" applyNumberFormat="1" applyFont="1" applyBorder="1" applyAlignment="1" applyProtection="1">
      <alignment horizontal="right" vertical="center"/>
      <protection hidden="1"/>
    </xf>
    <xf numFmtId="164" fontId="26" fillId="0" borderId="37" xfId="0" applyNumberFormat="1" applyFont="1" applyBorder="1" applyAlignment="1" applyProtection="1">
      <alignment horizontal="right"/>
      <protection hidden="1"/>
    </xf>
    <xf numFmtId="164" fontId="26" fillId="0" borderId="0" xfId="0" applyNumberFormat="1" applyFont="1" applyAlignment="1" applyProtection="1">
      <alignment horizontal="right"/>
      <protection hidden="1"/>
    </xf>
    <xf numFmtId="164" fontId="14" fillId="0" borderId="37" xfId="0" applyNumberFormat="1" applyFont="1" applyBorder="1" applyAlignment="1" applyProtection="1">
      <alignment horizontal="right"/>
      <protection hidden="1"/>
    </xf>
    <xf numFmtId="164" fontId="13" fillId="0" borderId="37" xfId="0" applyNumberFormat="1" applyFont="1" applyBorder="1" applyAlignment="1" applyProtection="1">
      <alignment horizontal="right"/>
      <protection hidden="1"/>
    </xf>
    <xf numFmtId="164" fontId="14" fillId="0" borderId="37" xfId="0" applyNumberFormat="1" applyFont="1" applyBorder="1" applyAlignment="1" applyProtection="1">
      <alignment vertical="center"/>
      <protection hidden="1"/>
    </xf>
    <xf numFmtId="164" fontId="13" fillId="0" borderId="0" xfId="0" applyNumberFormat="1" applyFont="1" applyAlignment="1" applyProtection="1">
      <alignment vertical="center"/>
      <protection hidden="1"/>
    </xf>
    <xf numFmtId="164" fontId="14" fillId="0" borderId="37" xfId="3" applyNumberFormat="1" applyFont="1" applyFill="1" applyBorder="1" applyProtection="1">
      <protection hidden="1"/>
    </xf>
    <xf numFmtId="164" fontId="14" fillId="0" borderId="37" xfId="3" applyNumberFormat="1" applyFont="1" applyFill="1" applyBorder="1" applyAlignment="1" applyProtection="1">
      <alignment horizontal="right"/>
      <protection hidden="1"/>
    </xf>
    <xf numFmtId="0" fontId="35" fillId="0" borderId="33" xfId="0" applyFont="1" applyBorder="1" applyAlignment="1" applyProtection="1">
      <alignment horizontal="left" wrapText="1"/>
      <protection hidden="1"/>
    </xf>
    <xf numFmtId="164" fontId="43" fillId="0" borderId="37" xfId="3" applyNumberFormat="1" applyFont="1" applyBorder="1" applyAlignment="1" applyProtection="1">
      <alignment horizontal="right" vertical="center"/>
      <protection hidden="1"/>
    </xf>
    <xf numFmtId="164" fontId="14" fillId="0" borderId="0" xfId="0" applyNumberFormat="1" applyFont="1" applyAlignment="1" applyProtection="1">
      <alignment horizontal="right"/>
      <protection hidden="1"/>
    </xf>
    <xf numFmtId="168" fontId="14" fillId="0" borderId="37" xfId="0" applyNumberFormat="1" applyFont="1" applyBorder="1" applyProtection="1">
      <protection hidden="1"/>
    </xf>
    <xf numFmtId="14" fontId="0" fillId="9" borderId="45" xfId="0" applyNumberFormat="1" applyFill="1" applyBorder="1" applyAlignment="1">
      <alignment horizontal="center"/>
    </xf>
    <xf numFmtId="0" fontId="7" fillId="9" borderId="45" xfId="0" quotePrefix="1" applyFont="1" applyFill="1" applyBorder="1" applyAlignment="1">
      <alignment horizontal="center" wrapText="1"/>
    </xf>
    <xf numFmtId="0" fontId="3" fillId="9" borderId="45" xfId="0" quotePrefix="1" applyFont="1" applyFill="1" applyBorder="1" applyAlignment="1">
      <alignment horizontal="center" vertical="center"/>
    </xf>
    <xf numFmtId="14" fontId="0" fillId="9" borderId="46" xfId="0" applyNumberFormat="1" applyFill="1" applyBorder="1" applyAlignment="1">
      <alignment horizontal="center"/>
    </xf>
    <xf numFmtId="3" fontId="7" fillId="9" borderId="45" xfId="0" applyNumberFormat="1" applyFont="1" applyFill="1" applyBorder="1"/>
    <xf numFmtId="0" fontId="3" fillId="9" borderId="45" xfId="0" applyFont="1" applyFill="1" applyBorder="1" applyAlignment="1">
      <alignment horizontal="center" vertical="center"/>
    </xf>
    <xf numFmtId="0" fontId="3" fillId="9" borderId="46" xfId="0" applyFont="1" applyFill="1" applyBorder="1" applyAlignment="1">
      <alignment horizontal="center" vertical="center"/>
    </xf>
    <xf numFmtId="3" fontId="7" fillId="9" borderId="46" xfId="0" applyNumberFormat="1" applyFont="1" applyFill="1" applyBorder="1"/>
    <xf numFmtId="0" fontId="10" fillId="12" borderId="0" xfId="0" applyFont="1" applyFill="1" applyAlignment="1" applyProtection="1">
      <alignment horizontal="left" wrapText="1"/>
      <protection hidden="1"/>
    </xf>
    <xf numFmtId="0" fontId="7" fillId="4" borderId="0" xfId="0" applyFont="1" applyFill="1"/>
    <xf numFmtId="0" fontId="3" fillId="4" borderId="62" xfId="0" applyFont="1" applyFill="1" applyBorder="1"/>
    <xf numFmtId="0" fontId="2" fillId="0" borderId="0" xfId="0" applyFont="1" applyProtection="1">
      <protection hidden="1"/>
    </xf>
    <xf numFmtId="0" fontId="7" fillId="0" borderId="27" xfId="0" applyFont="1" applyBorder="1" applyAlignment="1" applyProtection="1">
      <alignment horizontal="right" wrapText="1"/>
      <protection hidden="1"/>
    </xf>
    <xf numFmtId="0" fontId="7" fillId="0" borderId="27" xfId="0" applyFont="1" applyBorder="1" applyAlignment="1" applyProtection="1">
      <alignment horizontal="left" wrapText="1"/>
      <protection hidden="1"/>
    </xf>
    <xf numFmtId="0" fontId="33" fillId="0" borderId="0" xfId="0" applyFont="1" applyAlignment="1" applyProtection="1">
      <alignment horizontal="left" vertical="center" wrapText="1"/>
      <protection hidden="1"/>
    </xf>
    <xf numFmtId="0" fontId="2" fillId="0" borderId="0" xfId="0" applyFont="1" applyAlignment="1">
      <alignment horizontal="left"/>
    </xf>
    <xf numFmtId="0" fontId="19" fillId="0" borderId="27" xfId="0" applyFont="1" applyBorder="1" applyAlignment="1" applyProtection="1">
      <alignment horizontal="center" vertical="center" wrapText="1"/>
      <protection hidden="1"/>
    </xf>
    <xf numFmtId="0" fontId="34" fillId="0" borderId="0" xfId="0" applyFont="1" applyAlignment="1" applyProtection="1">
      <alignment horizontal="left"/>
      <protection hidden="1"/>
    </xf>
    <xf numFmtId="0" fontId="8" fillId="0" borderId="0" xfId="2" applyFill="1" applyAlignment="1"/>
    <xf numFmtId="0" fontId="0" fillId="0" borderId="0" xfId="0"/>
    <xf numFmtId="0" fontId="5" fillId="0" borderId="27" xfId="0" applyFont="1" applyBorder="1" applyAlignment="1" applyProtection="1">
      <alignment wrapText="1"/>
      <protection hidden="1"/>
    </xf>
    <xf numFmtId="0" fontId="3" fillId="0" borderId="27" xfId="0" applyFont="1" applyBorder="1" applyAlignment="1" applyProtection="1">
      <alignment wrapText="1"/>
      <protection hidden="1"/>
    </xf>
    <xf numFmtId="0" fontId="34" fillId="0" borderId="0" xfId="0" applyFont="1" applyAlignment="1" applyProtection="1">
      <alignment horizontal="left" wrapText="1"/>
      <protection hidden="1"/>
    </xf>
    <xf numFmtId="0" fontId="7" fillId="0" borderId="0" xfId="0" applyFont="1" applyProtection="1">
      <protection hidden="1"/>
    </xf>
    <xf numFmtId="164" fontId="3" fillId="0" borderId="0" xfId="0" applyNumberFormat="1" applyFont="1" applyAlignment="1" applyProtection="1">
      <alignment vertical="center"/>
      <protection hidden="1"/>
    </xf>
    <xf numFmtId="0" fontId="3" fillId="0" borderId="0" xfId="0" applyFont="1" applyAlignment="1" applyProtection="1">
      <alignment vertical="center" wrapText="1"/>
      <protection hidden="1"/>
    </xf>
    <xf numFmtId="0" fontId="5" fillId="0" borderId="27" xfId="0" applyFont="1" applyBorder="1" applyAlignment="1" applyProtection="1">
      <alignment vertical="center" wrapText="1"/>
      <protection hidden="1"/>
    </xf>
    <xf numFmtId="164" fontId="5" fillId="0" borderId="0" xfId="0" applyNumberFormat="1" applyFont="1" applyAlignment="1" applyProtection="1">
      <alignment horizontal="left" vertical="center" wrapText="1"/>
      <protection hidden="1"/>
    </xf>
    <xf numFmtId="0" fontId="3" fillId="0" borderId="0" xfId="0" applyFont="1" applyAlignment="1" applyProtection="1">
      <alignment horizontal="left" wrapText="1"/>
      <protection hidden="1"/>
    </xf>
    <xf numFmtId="164" fontId="7" fillId="0" borderId="0" xfId="0" applyNumberFormat="1" applyFont="1" applyAlignment="1" applyProtection="1">
      <alignment vertical="center"/>
      <protection hidden="1"/>
    </xf>
    <xf numFmtId="0" fontId="7" fillId="0" borderId="0" xfId="0" applyFont="1" applyAlignment="1" applyProtection="1">
      <alignment horizontal="left"/>
      <protection hidden="1"/>
    </xf>
    <xf numFmtId="0" fontId="18" fillId="0" borderId="0" xfId="2" applyFont="1" applyBorder="1" applyAlignment="1" applyProtection="1">
      <protection hidden="1"/>
    </xf>
    <xf numFmtId="0" fontId="35" fillId="0" borderId="0" xfId="0" applyFont="1" applyAlignment="1" applyProtection="1">
      <alignment wrapText="1"/>
      <protection hidden="1"/>
    </xf>
    <xf numFmtId="0" fontId="35" fillId="0" borderId="0" xfId="0" applyFont="1" applyProtection="1">
      <protection hidden="1"/>
    </xf>
    <xf numFmtId="0" fontId="18" fillId="0" borderId="0" xfId="2" applyFont="1" applyFill="1" applyBorder="1" applyAlignment="1" applyProtection="1">
      <protection hidden="1"/>
    </xf>
    <xf numFmtId="0" fontId="7" fillId="4" borderId="28" xfId="0" applyFont="1" applyFill="1" applyBorder="1" applyAlignment="1" applyProtection="1">
      <alignment vertical="center"/>
      <protection locked="0"/>
    </xf>
    <xf numFmtId="0" fontId="7" fillId="0" borderId="0" xfId="0" applyFont="1" applyAlignment="1" applyProtection="1">
      <alignment horizontal="left" wrapText="1"/>
      <protection hidden="1"/>
    </xf>
    <xf numFmtId="0" fontId="7" fillId="0" borderId="0" xfId="0" applyFont="1" applyAlignment="1" applyProtection="1">
      <alignment wrapText="1"/>
      <protection hidden="1"/>
    </xf>
    <xf numFmtId="0" fontId="5" fillId="0" borderId="0" xfId="0" applyFont="1" applyProtection="1">
      <protection hidden="1"/>
    </xf>
    <xf numFmtId="0" fontId="7" fillId="4" borderId="28" xfId="0" applyFont="1" applyFill="1" applyBorder="1" applyAlignment="1" applyProtection="1">
      <alignment horizontal="left" vertical="center"/>
      <protection locked="0"/>
    </xf>
    <xf numFmtId="0" fontId="3" fillId="0" borderId="0" xfId="0" applyFont="1" applyAlignment="1" applyProtection="1">
      <alignment vertical="center"/>
      <protection hidden="1"/>
    </xf>
    <xf numFmtId="0" fontId="10" fillId="12" borderId="0" xfId="0" applyFont="1" applyFill="1" applyAlignment="1" applyProtection="1">
      <alignment horizontal="left" vertical="center"/>
      <protection hidden="1"/>
    </xf>
    <xf numFmtId="0" fontId="5" fillId="0" borderId="0" xfId="0" applyFont="1" applyAlignment="1" applyProtection="1">
      <alignment horizontal="left" wrapText="1"/>
      <protection hidden="1"/>
    </xf>
    <xf numFmtId="0" fontId="5" fillId="0" borderId="0" xfId="0" applyFont="1" applyAlignment="1" applyProtection="1">
      <alignment horizontal="left" vertical="center"/>
      <protection hidden="1"/>
    </xf>
    <xf numFmtId="49" fontId="3" fillId="0" borderId="0" xfId="0" applyNumberFormat="1" applyFont="1" applyAlignment="1" applyProtection="1">
      <alignment horizontal="left" vertical="center" wrapText="1"/>
      <protection hidden="1"/>
    </xf>
    <xf numFmtId="0" fontId="3" fillId="0" borderId="0" xfId="0" applyFont="1" applyAlignment="1" applyProtection="1">
      <alignment horizontal="left" vertical="center" wrapText="1"/>
      <protection hidden="1"/>
    </xf>
    <xf numFmtId="164" fontId="5" fillId="0" borderId="0" xfId="0" applyNumberFormat="1" applyFont="1" applyAlignment="1" applyProtection="1">
      <alignment horizontal="left"/>
      <protection hidden="1"/>
    </xf>
    <xf numFmtId="164" fontId="14" fillId="0" borderId="0" xfId="0" applyNumberFormat="1" applyFont="1" applyAlignment="1" applyProtection="1">
      <alignment vertical="center"/>
      <protection hidden="1"/>
    </xf>
    <xf numFmtId="44" fontId="5" fillId="0" borderId="27" xfId="0" applyNumberFormat="1" applyFont="1" applyBorder="1" applyAlignment="1" applyProtection="1">
      <alignment horizontal="left" vertical="center" wrapText="1"/>
      <protection hidden="1"/>
    </xf>
    <xf numFmtId="0" fontId="5" fillId="0" borderId="27" xfId="0" applyFont="1" applyBorder="1" applyAlignment="1" applyProtection="1">
      <alignment horizontal="left" vertical="center" wrapText="1"/>
      <protection hidden="1"/>
    </xf>
    <xf numFmtId="0" fontId="5" fillId="0" borderId="0" xfId="0" applyFont="1" applyAlignment="1" applyProtection="1">
      <alignment wrapText="1"/>
      <protection hidden="1"/>
    </xf>
    <xf numFmtId="164" fontId="5" fillId="0" borderId="0" xfId="0" applyNumberFormat="1" applyFont="1" applyAlignment="1" applyProtection="1">
      <alignment vertical="center"/>
      <protection hidden="1"/>
    </xf>
    <xf numFmtId="0" fontId="8" fillId="0" borderId="4" xfId="2" applyBorder="1" applyAlignment="1">
      <alignment horizontal="center" vertical="center" wrapText="1"/>
    </xf>
    <xf numFmtId="0" fontId="8" fillId="0" borderId="7" xfId="2" applyBorder="1" applyAlignment="1">
      <alignment horizontal="center" vertical="center" wrapText="1"/>
    </xf>
    <xf numFmtId="0" fontId="8" fillId="0" borderId="9" xfId="2" applyBorder="1" applyAlignment="1">
      <alignment horizontal="center" vertical="center" wrapText="1"/>
    </xf>
    <xf numFmtId="0" fontId="15"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0" xfId="0" applyFont="1" applyBorder="1" applyAlignment="1">
      <alignment horizontal="center" vertical="center" wrapText="1"/>
    </xf>
    <xf numFmtId="0" fontId="22" fillId="0" borderId="4" xfId="2" applyFont="1" applyBorder="1" applyAlignment="1">
      <alignment horizontal="center" vertical="center" wrapText="1"/>
    </xf>
    <xf numFmtId="0" fontId="22" fillId="0" borderId="9" xfId="2" applyFont="1" applyBorder="1" applyAlignment="1">
      <alignment horizontal="center" vertical="center" wrapText="1"/>
    </xf>
    <xf numFmtId="0" fontId="5" fillId="4" borderId="0" xfId="0" applyFont="1" applyFill="1" applyAlignment="1">
      <alignment vertical="center"/>
    </xf>
    <xf numFmtId="0" fontId="0" fillId="0" borderId="0" xfId="0" applyAlignment="1">
      <alignment vertical="center"/>
    </xf>
    <xf numFmtId="0" fontId="0" fillId="0" borderId="62" xfId="0" applyBorder="1" applyAlignment="1">
      <alignment vertical="center"/>
    </xf>
    <xf numFmtId="165" fontId="4" fillId="10" borderId="17" xfId="0" applyNumberFormat="1" applyFont="1" applyFill="1" applyBorder="1"/>
    <xf numFmtId="0" fontId="35" fillId="0" borderId="49" xfId="0" applyFont="1" applyBorder="1"/>
    <xf numFmtId="0" fontId="35" fillId="0" borderId="33" xfId="0" applyFont="1" applyBorder="1"/>
    <xf numFmtId="0" fontId="3" fillId="4" borderId="48" xfId="0" applyFont="1" applyFill="1" applyBorder="1" applyAlignment="1">
      <alignment wrapText="1"/>
    </xf>
    <xf numFmtId="0" fontId="3" fillId="4" borderId="0" xfId="0" applyFont="1" applyFill="1" applyAlignment="1">
      <alignment wrapText="1"/>
    </xf>
    <xf numFmtId="0" fontId="11" fillId="4" borderId="48" xfId="0" applyFont="1" applyFill="1" applyBorder="1" applyAlignment="1">
      <alignment wrapText="1"/>
    </xf>
    <xf numFmtId="0" fontId="11" fillId="4" borderId="0" xfId="0" applyFont="1" applyFill="1" applyAlignment="1">
      <alignment wrapText="1"/>
    </xf>
    <xf numFmtId="0" fontId="3" fillId="2" borderId="48" xfId="0" applyFont="1" applyFill="1" applyBorder="1"/>
    <xf numFmtId="0" fontId="3" fillId="2" borderId="0" xfId="0" applyFont="1" applyFill="1"/>
    <xf numFmtId="164" fontId="7" fillId="2" borderId="48" xfId="0" applyNumberFormat="1" applyFont="1" applyFill="1" applyBorder="1" applyAlignment="1" applyProtection="1">
      <alignment horizontal="left" vertical="center" wrapText="1"/>
      <protection hidden="1"/>
    </xf>
    <xf numFmtId="164" fontId="7" fillId="2" borderId="0" xfId="0" applyNumberFormat="1" applyFont="1" applyFill="1" applyAlignment="1" applyProtection="1">
      <alignment horizontal="left" vertical="center" wrapText="1"/>
      <protection hidden="1"/>
    </xf>
    <xf numFmtId="44" fontId="3" fillId="2" borderId="48" xfId="0" applyNumberFormat="1" applyFont="1" applyFill="1" applyBorder="1"/>
    <xf numFmtId="44" fontId="3" fillId="2" borderId="0" xfId="0" applyNumberFormat="1" applyFont="1" applyFill="1"/>
    <xf numFmtId="0" fontId="7" fillId="4" borderId="48" xfId="0" applyFont="1" applyFill="1" applyBorder="1" applyAlignment="1">
      <alignment wrapText="1"/>
    </xf>
    <xf numFmtId="0" fontId="7" fillId="4" borderId="0" xfId="0" applyFont="1" applyFill="1" applyAlignment="1">
      <alignment wrapText="1"/>
    </xf>
    <xf numFmtId="0" fontId="3" fillId="2" borderId="48" xfId="0" applyFont="1" applyFill="1" applyBorder="1" applyAlignment="1">
      <alignment wrapText="1"/>
    </xf>
    <xf numFmtId="0" fontId="3" fillId="2" borderId="0" xfId="0" applyFont="1" applyFill="1" applyAlignment="1">
      <alignment wrapText="1"/>
    </xf>
    <xf numFmtId="0" fontId="18" fillId="0" borderId="0" xfId="2" applyFont="1" applyFill="1" applyAlignment="1"/>
    <xf numFmtId="0" fontId="3" fillId="2" borderId="48" xfId="0" applyFont="1" applyFill="1" applyBorder="1" applyAlignment="1">
      <alignment horizontal="left" wrapText="1"/>
    </xf>
    <xf numFmtId="0" fontId="3" fillId="2" borderId="0" xfId="0" applyFont="1" applyFill="1" applyAlignment="1">
      <alignment horizontal="left" wrapText="1"/>
    </xf>
    <xf numFmtId="0" fontId="3" fillId="4" borderId="48" xfId="0" applyFont="1" applyFill="1" applyBorder="1" applyAlignment="1">
      <alignment horizontal="left" wrapText="1"/>
    </xf>
    <xf numFmtId="0" fontId="3" fillId="4" borderId="0" xfId="0" applyFont="1" applyFill="1" applyAlignment="1">
      <alignment horizontal="left" wrapText="1"/>
    </xf>
    <xf numFmtId="0" fontId="3" fillId="4" borderId="48" xfId="0" applyFont="1" applyFill="1" applyBorder="1"/>
    <xf numFmtId="0" fontId="3" fillId="4" borderId="0" xfId="0" applyFont="1" applyFill="1"/>
    <xf numFmtId="0" fontId="3" fillId="8" borderId="48" xfId="0" applyFont="1" applyFill="1" applyBorder="1"/>
    <xf numFmtId="0" fontId="3" fillId="8" borderId="0" xfId="0" applyFont="1" applyFill="1"/>
    <xf numFmtId="44" fontId="3" fillId="2" borderId="48" xfId="0" applyNumberFormat="1" applyFont="1" applyFill="1" applyBorder="1" applyAlignment="1">
      <alignment wrapText="1"/>
    </xf>
    <xf numFmtId="44" fontId="3" fillId="2" borderId="0" xfId="0" applyNumberFormat="1" applyFont="1" applyFill="1" applyAlignment="1">
      <alignment wrapText="1"/>
    </xf>
    <xf numFmtId="0" fontId="3" fillId="4" borderId="48" xfId="3" applyNumberFormat="1" applyFont="1" applyFill="1" applyBorder="1" applyAlignment="1" applyProtection="1">
      <alignment horizontal="left" vertical="center" wrapText="1"/>
      <protection hidden="1"/>
    </xf>
    <xf numFmtId="0" fontId="3" fillId="4" borderId="0" xfId="3" applyNumberFormat="1" applyFont="1" applyFill="1" applyBorder="1" applyAlignment="1" applyProtection="1">
      <alignment horizontal="left" vertical="center" wrapText="1"/>
      <protection hidden="1"/>
    </xf>
    <xf numFmtId="166" fontId="7" fillId="4" borderId="48" xfId="0" applyNumberFormat="1" applyFont="1" applyFill="1" applyBorder="1" applyAlignment="1" applyProtection="1">
      <alignment horizontal="left" vertical="center" wrapText="1"/>
      <protection hidden="1"/>
    </xf>
    <xf numFmtId="166" fontId="7" fillId="4" borderId="0" xfId="0" applyNumberFormat="1" applyFont="1" applyFill="1" applyAlignment="1" applyProtection="1">
      <alignment horizontal="left" vertical="center" wrapText="1"/>
      <protection hidden="1"/>
    </xf>
    <xf numFmtId="0" fontId="13" fillId="0" borderId="37" xfId="0" applyFont="1" applyBorder="1" applyAlignment="1" applyProtection="1">
      <alignment horizontal="left" vertical="center" wrapText="1"/>
      <protection hidden="1"/>
    </xf>
    <xf numFmtId="0" fontId="14" fillId="0" borderId="37" xfId="0" applyFont="1" applyBorder="1" applyAlignment="1" applyProtection="1">
      <alignment horizontal="left" vertical="center" wrapText="1"/>
      <protection hidden="1"/>
    </xf>
    <xf numFmtId="0" fontId="14" fillId="0" borderId="43" xfId="0" applyFont="1" applyBorder="1" applyAlignment="1" applyProtection="1">
      <alignment horizontal="left" vertical="center" wrapText="1"/>
      <protection hidden="1"/>
    </xf>
    <xf numFmtId="0" fontId="0" fillId="0" borderId="44" xfId="0" applyBorder="1" applyAlignment="1">
      <alignment horizontal="center" vertical="center" wrapText="1"/>
    </xf>
    <xf numFmtId="0" fontId="0" fillId="0" borderId="45" xfId="0" applyBorder="1" applyAlignment="1">
      <alignment horizontal="center" vertical="center" wrapText="1"/>
    </xf>
    <xf numFmtId="0" fontId="35" fillId="0" borderId="33" xfId="0" applyFont="1" applyBorder="1" applyAlignment="1" applyProtection="1">
      <alignment horizontal="left" wrapText="1"/>
      <protection hidden="1"/>
    </xf>
    <xf numFmtId="0" fontId="36" fillId="0" borderId="0" xfId="0" applyFont="1" applyAlignment="1" applyProtection="1">
      <alignment vertical="center" wrapText="1"/>
      <protection hidden="1"/>
    </xf>
    <xf numFmtId="0" fontId="36" fillId="0" borderId="38" xfId="0" applyFont="1" applyBorder="1" applyAlignment="1" applyProtection="1">
      <alignment horizontal="left" vertical="center" wrapText="1"/>
      <protection hidden="1"/>
    </xf>
    <xf numFmtId="0" fontId="36" fillId="0" borderId="39" xfId="0" applyFont="1" applyBorder="1" applyAlignment="1" applyProtection="1">
      <alignment vertical="center" wrapText="1"/>
      <protection hidden="1"/>
    </xf>
    <xf numFmtId="0" fontId="36" fillId="0" borderId="39" xfId="0" applyFont="1" applyBorder="1" applyAlignment="1" applyProtection="1">
      <alignment horizontal="left" vertical="center"/>
      <protection hidden="1"/>
    </xf>
  </cellXfs>
  <cellStyles count="4">
    <cellStyle name="Currency" xfId="3" builtinId="4"/>
    <cellStyle name="Hyperlink" xfId="2" builtinId="8"/>
    <cellStyle name="Normal" xfId="0" builtinId="0"/>
    <cellStyle name="Percent" xfId="1" builtinId="5"/>
  </cellStyles>
  <dxfs count="83">
    <dxf>
      <font>
        <b/>
        <i val="0"/>
      </font>
      <fill>
        <patternFill>
          <bgColor theme="0" tint="-4.9989318521683403E-2"/>
        </patternFill>
      </fill>
    </dxf>
    <dxf>
      <font>
        <b/>
        <i val="0"/>
        <color rgb="FFFFC000"/>
      </font>
    </dxf>
    <dxf>
      <font>
        <color rgb="FFFFC000"/>
      </font>
    </dxf>
    <dxf>
      <font>
        <color rgb="FFFFC000"/>
      </font>
    </dxf>
    <dxf>
      <font>
        <b/>
        <i val="0"/>
        <color rgb="FFFFC000"/>
      </font>
    </dxf>
    <dxf>
      <font>
        <color rgb="FFFFC000"/>
      </font>
    </dxf>
    <dxf>
      <font>
        <color rgb="FFFFC000"/>
      </font>
    </dxf>
    <dxf>
      <font>
        <color rgb="FFFFC000"/>
      </font>
    </dxf>
    <dxf>
      <font>
        <b/>
        <i val="0"/>
        <color rgb="FFFFC000"/>
      </font>
    </dxf>
    <dxf>
      <font>
        <color rgb="FFFFC000"/>
      </font>
    </dxf>
    <dxf>
      <font>
        <color rgb="FFFFC000"/>
      </font>
    </dxf>
    <dxf>
      <font>
        <color rgb="FFFFC000"/>
      </font>
    </dxf>
    <dxf>
      <font>
        <b/>
        <i val="0"/>
        <color rgb="FFFFC000"/>
      </font>
    </dxf>
    <dxf>
      <fill>
        <patternFill>
          <bgColor theme="8"/>
        </patternFill>
      </fill>
    </dxf>
    <dxf>
      <font>
        <color rgb="FFFFC000"/>
      </font>
    </dxf>
    <dxf>
      <font>
        <color rgb="FFFFC000"/>
      </font>
    </dxf>
    <dxf>
      <fill>
        <patternFill>
          <bgColor theme="8"/>
        </patternFill>
      </fill>
    </dxf>
    <dxf>
      <font>
        <color rgb="FFFFC000"/>
      </font>
    </dxf>
    <dxf>
      <font>
        <color rgb="FFFFC000"/>
      </font>
    </dxf>
    <dxf>
      <font>
        <color rgb="FFFFC000"/>
      </font>
    </dxf>
    <dxf>
      <font>
        <color rgb="FFFFC000"/>
      </font>
    </dxf>
    <dxf>
      <font>
        <color rgb="FFFFC000"/>
      </font>
    </dxf>
    <dxf>
      <font>
        <b/>
        <i val="0"/>
        <color rgb="FFFF0000"/>
      </font>
    </dxf>
    <dxf>
      <font>
        <b/>
        <i val="0"/>
        <color rgb="FFFF0000"/>
      </font>
    </dxf>
    <dxf>
      <font>
        <b/>
        <i val="0"/>
      </font>
      <fill>
        <patternFill>
          <bgColor theme="0" tint="-4.9989318521683403E-2"/>
        </patternFill>
      </fill>
    </dxf>
    <dxf>
      <font>
        <b/>
        <i val="0"/>
      </font>
      <fill>
        <patternFill>
          <bgColor theme="0" tint="-4.9989318521683403E-2"/>
        </patternFill>
      </fill>
    </dxf>
    <dxf>
      <font>
        <b/>
        <i val="0"/>
        <color auto="1"/>
      </font>
      <fill>
        <patternFill>
          <bgColor rgb="FF66FF33"/>
        </patternFill>
      </fill>
    </dxf>
    <dxf>
      <fill>
        <patternFill>
          <bgColor theme="8"/>
        </patternFill>
      </fill>
    </dxf>
    <dxf>
      <fill>
        <patternFill>
          <bgColor theme="8"/>
        </patternFill>
      </fill>
    </dxf>
    <dxf>
      <fill>
        <patternFill>
          <bgColor theme="8"/>
        </patternFill>
      </fill>
    </dxf>
    <dxf>
      <fill>
        <patternFill>
          <bgColor theme="8" tint="0.39994506668294322"/>
        </patternFill>
      </fill>
    </dxf>
    <dxf>
      <fill>
        <patternFill>
          <bgColor theme="8"/>
        </patternFill>
      </fill>
    </dxf>
    <dxf>
      <font>
        <b/>
        <i val="0"/>
      </font>
      <fill>
        <patternFill>
          <bgColor theme="0" tint="-4.9989318521683403E-2"/>
        </patternFill>
      </fill>
    </dxf>
    <dxf>
      <font>
        <b/>
        <i val="0"/>
        <color auto="1"/>
      </font>
      <fill>
        <patternFill>
          <bgColor rgb="FF66FF33"/>
        </patternFill>
      </fill>
    </dxf>
    <dxf>
      <fill>
        <patternFill>
          <bgColor rgb="FF99FF66"/>
        </patternFill>
      </fill>
    </dxf>
    <dxf>
      <fill>
        <patternFill>
          <bgColor rgb="FF99FF66"/>
        </patternFill>
      </fill>
    </dxf>
    <dxf>
      <fill>
        <patternFill>
          <bgColor rgb="FFFFC000"/>
        </patternFill>
      </fill>
    </dxf>
    <dxf>
      <fill>
        <patternFill>
          <bgColor rgb="FF99FF66"/>
        </patternFill>
      </fill>
    </dxf>
    <dxf>
      <font>
        <b/>
        <i val="0"/>
        <color auto="1"/>
      </font>
      <fill>
        <patternFill>
          <bgColor rgb="FF66FF33"/>
        </patternFill>
      </fill>
    </dxf>
    <dxf>
      <font>
        <color theme="0"/>
      </font>
      <fill>
        <patternFill>
          <bgColor rgb="FF006666"/>
        </patternFill>
      </fill>
    </dxf>
    <dxf>
      <font>
        <color theme="0"/>
      </font>
      <fill>
        <patternFill>
          <bgColor theme="5" tint="0.39994506668294322"/>
        </patternFill>
      </fill>
    </dxf>
    <dxf>
      <fill>
        <patternFill>
          <bgColor theme="5" tint="0.39994506668294322"/>
        </patternFill>
      </fill>
    </dxf>
    <dxf>
      <font>
        <color theme="0"/>
      </font>
      <fill>
        <patternFill>
          <bgColor rgb="FF0066FF"/>
        </patternFill>
      </fill>
    </dxf>
    <dxf>
      <font>
        <color theme="0"/>
      </font>
      <fill>
        <patternFill>
          <bgColor theme="5" tint="0.39994506668294322"/>
        </patternFill>
      </fill>
    </dxf>
    <dxf>
      <fill>
        <patternFill>
          <bgColor theme="5" tint="0.39994506668294322"/>
        </patternFill>
      </fill>
    </dxf>
    <dxf>
      <font>
        <b/>
        <i val="0"/>
        <color theme="0"/>
      </font>
      <fill>
        <patternFill>
          <bgColor rgb="FFFF0000"/>
        </patternFill>
      </fill>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color rgb="FFFFC000"/>
      </font>
    </dxf>
    <dxf>
      <font>
        <b/>
        <i val="0"/>
        <color rgb="FFFF0000"/>
      </font>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3844CA"/>
      <color rgb="FFF5FBFE"/>
      <color rgb="FFCCFFFF"/>
      <color rgb="FF99CCFF"/>
      <color rgb="FF0066FF"/>
      <color rgb="FFCCFFCC"/>
      <color rgb="FF006666"/>
      <color rgb="FF99FF66"/>
      <color rgb="FF66FF66"/>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60960</xdr:colOff>
      <xdr:row>1</xdr:row>
      <xdr:rowOff>40004</xdr:rowOff>
    </xdr:from>
    <xdr:to>
      <xdr:col>1</xdr:col>
      <xdr:colOff>753780</xdr:colOff>
      <xdr:row>1</xdr:row>
      <xdr:rowOff>563879</xdr:rowOff>
    </xdr:to>
    <xdr:pic>
      <xdr:nvPicPr>
        <xdr:cNvPr id="2" name="Picture 1" descr="ATO Logo">
          <a:extLst>
            <a:ext uri="{FF2B5EF4-FFF2-40B4-BE49-F238E27FC236}">
              <a16:creationId xmlns:a16="http://schemas.microsoft.com/office/drawing/2014/main" id="{EC73D3A6-57B5-45F9-B243-43FAD6B4A5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 y="215264"/>
          <a:ext cx="2138715" cy="50101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to.gov.au/individuals-and-families/your-tax-return/instructions-to-complete-your-tax-return/paper-tax-return-instructions/2024/supplementary-tax-return/income-questions-13-24/21-rent-2024" TargetMode="External"/><Relationship Id="rId1" Type="http://schemas.openxmlformats.org/officeDocument/2006/relationships/hyperlink" Target="https://www.ato.gov.au/individuals-and-families/your-tax-return/instructions-to-complete-your-tax-return/mytax-instructions/2024/income/australian-income-or-losses-from-investments-or-property/ren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ato.gov.au/individuals-and-families/investments-and-assets/property-and-land/residential-rental-properties/rental-expenses/borrowing-expenses" TargetMode="External"/><Relationship Id="rId1" Type="http://schemas.openxmlformats.org/officeDocument/2006/relationships/hyperlink" Target="https://www.ato.gov.au/individuals-and-families/investments-and-assets/property-and-land/residential-rental-properties/rental-expenses/borrowing-expense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F4EB-E8D6-472C-B659-C4BBE1D95407}">
  <sheetPr codeName="Sheet1">
    <tabColor rgb="FF3844CA"/>
  </sheetPr>
  <dimension ref="A1:O118"/>
  <sheetViews>
    <sheetView showGridLines="0" tabSelected="1" zoomScale="110" zoomScaleNormal="110" workbookViewId="0">
      <selection activeCell="B25" sqref="B25:E25"/>
    </sheetView>
  </sheetViews>
  <sheetFormatPr defaultColWidth="0" defaultRowHeight="14.25" zeroHeight="1" x14ac:dyDescent="0.2"/>
  <cols>
    <col min="1" max="4" width="20.85546875" style="2" customWidth="1"/>
    <col min="5" max="5" width="21.7109375" style="2" customWidth="1"/>
    <col min="6" max="6" width="16.5703125" style="2" hidden="1" customWidth="1"/>
    <col min="7" max="7" width="13.140625" style="2" hidden="1" customWidth="1"/>
    <col min="8" max="9" width="16.42578125" style="2" hidden="1" customWidth="1"/>
    <col min="10" max="10" width="14.85546875" style="2" hidden="1" customWidth="1"/>
    <col min="11" max="12" width="9.140625" style="2" hidden="1" customWidth="1"/>
    <col min="13" max="13" width="19.42578125" style="2" hidden="1" customWidth="1"/>
    <col min="14" max="16384" width="9.140625" style="2" hidden="1"/>
  </cols>
  <sheetData>
    <row r="1" spans="1:6" ht="15" customHeight="1" x14ac:dyDescent="0.2">
      <c r="A1" s="352" t="s">
        <v>0</v>
      </c>
      <c r="B1" s="352"/>
      <c r="C1" s="352"/>
      <c r="D1" s="352"/>
      <c r="E1" s="352"/>
    </row>
    <row r="2" spans="1:6" ht="45" customHeight="1" x14ac:dyDescent="0.2">
      <c r="A2" s="348" t="s">
        <v>1</v>
      </c>
      <c r="B2" s="348"/>
      <c r="C2" s="348"/>
      <c r="D2" s="348"/>
      <c r="E2" s="348"/>
      <c r="F2" s="132"/>
    </row>
    <row r="3" spans="1:6" ht="55.5" customHeight="1" x14ac:dyDescent="0.2">
      <c r="A3" s="351" t="str">
        <f>'Reference module'!B35</f>
        <v>Rental property deductible borrowing expenses calculator</v>
      </c>
      <c r="B3" s="351"/>
      <c r="C3" s="351"/>
      <c r="D3" s="351"/>
      <c r="E3" s="351"/>
      <c r="F3" s="132"/>
    </row>
    <row r="4" spans="1:6" ht="15" customHeight="1" x14ac:dyDescent="0.2">
      <c r="A4" s="350" t="str">
        <f>'Reference module'!B49</f>
        <v xml:space="preserve"> V 1.03</v>
      </c>
      <c r="B4" s="350"/>
      <c r="C4" s="349" t="str">
        <f ca="1">'Reference module'!B66</f>
        <v>Calculated on: 20-Apr-26</v>
      </c>
      <c r="D4" s="349"/>
      <c r="E4" s="349"/>
      <c r="F4" s="132"/>
    </row>
    <row r="5" spans="1:6" ht="24.95" customHeight="1" x14ac:dyDescent="0.2">
      <c r="A5" s="367" t="str">
        <f>'Reference module'!B80</f>
        <v>When navigating around this tool, you can use the:</v>
      </c>
      <c r="B5" s="367"/>
      <c r="C5" s="367"/>
      <c r="D5" s="367"/>
      <c r="E5" s="367"/>
      <c r="F5" s="132"/>
    </row>
    <row r="6" spans="1:6" ht="15" customHeight="1" x14ac:dyDescent="0.2">
      <c r="A6" s="360" t="str">
        <f>'Reference module'!B94</f>
        <v>• arrow keys move to all cells</v>
      </c>
      <c r="B6" s="360"/>
      <c r="C6" s="360"/>
      <c r="D6" s="360"/>
      <c r="E6" s="360"/>
      <c r="F6" s="132"/>
    </row>
    <row r="7" spans="1:6" ht="15" customHeight="1" x14ac:dyDescent="0.2">
      <c r="A7" s="360" t="str">
        <f>'Reference module'!B108</f>
        <v>• tab keys to move to the data entry cells only.</v>
      </c>
      <c r="B7" s="360"/>
      <c r="C7" s="360"/>
      <c r="D7" s="360"/>
      <c r="E7" s="360"/>
      <c r="F7" s="132"/>
    </row>
    <row r="8" spans="1:6" ht="24.95" customHeight="1" x14ac:dyDescent="0.2">
      <c r="A8" s="360" t="str">
        <f>'Reference module'!B122</f>
        <v>This calculator has 4 sections. Use the links below to go to each section.</v>
      </c>
      <c r="B8" s="360"/>
      <c r="C8" s="360"/>
      <c r="D8" s="360"/>
      <c r="E8" s="360"/>
      <c r="F8" s="132"/>
    </row>
    <row r="9" spans="1:6" ht="15" customHeight="1" x14ac:dyDescent="0.2">
      <c r="A9" s="368" t="s">
        <v>2</v>
      </c>
      <c r="B9" s="368"/>
      <c r="C9" s="368"/>
      <c r="D9" s="368"/>
      <c r="E9" s="368"/>
      <c r="F9" s="132"/>
    </row>
    <row r="10" spans="1:6" ht="15" customHeight="1" x14ac:dyDescent="0.2">
      <c r="A10" s="368" t="s">
        <v>3</v>
      </c>
      <c r="B10" s="368"/>
      <c r="C10" s="368"/>
      <c r="D10" s="368"/>
      <c r="E10" s="368"/>
      <c r="F10" s="132"/>
    </row>
    <row r="11" spans="1:6" ht="15" customHeight="1" x14ac:dyDescent="0.2">
      <c r="A11" s="371" t="s">
        <v>4</v>
      </c>
      <c r="B11" s="371"/>
      <c r="C11" s="371"/>
      <c r="D11" s="371"/>
      <c r="E11" s="371"/>
      <c r="F11" s="132"/>
    </row>
    <row r="12" spans="1:6" ht="15" customHeight="1" x14ac:dyDescent="0.2">
      <c r="A12" s="368" t="s">
        <v>5</v>
      </c>
      <c r="B12" s="368"/>
      <c r="C12" s="368"/>
      <c r="D12" s="368"/>
      <c r="E12" s="368"/>
      <c r="F12" s="132"/>
    </row>
    <row r="13" spans="1:6" ht="39.6" customHeight="1" x14ac:dyDescent="0.3">
      <c r="A13" s="354" t="str">
        <f>'Reference module'!B192</f>
        <v>Things to know</v>
      </c>
      <c r="B13" s="354"/>
      <c r="C13" s="354"/>
      <c r="D13" s="354"/>
      <c r="E13" s="354"/>
      <c r="F13" s="132"/>
    </row>
    <row r="14" spans="1:6" ht="15" customHeight="1" x14ac:dyDescent="0.25">
      <c r="A14" s="355" t="str">
        <f>HYPERLINK('Reference module'!B1246,"• For information about claiming borrowing expenses, see Borrowing expenses.")</f>
        <v>• For information about claiming borrowing expenses, see Borrowing expenses.</v>
      </c>
      <c r="B14" s="356"/>
      <c r="C14" s="356"/>
      <c r="D14" s="356"/>
      <c r="E14" s="356"/>
      <c r="F14" s="132"/>
    </row>
    <row r="15" spans="1:6" ht="31.5" customHeight="1" x14ac:dyDescent="0.2">
      <c r="A15" s="373" t="s">
        <v>6</v>
      </c>
      <c r="B15" s="373"/>
      <c r="C15" s="373"/>
      <c r="D15" s="373"/>
      <c r="E15" s="373"/>
      <c r="F15" s="132"/>
    </row>
    <row r="16" spans="1:6" ht="31.5" customHeight="1" x14ac:dyDescent="0.2">
      <c r="A16" s="373" t="s">
        <v>7</v>
      </c>
      <c r="B16" s="373"/>
      <c r="C16" s="373"/>
      <c r="D16" s="373"/>
      <c r="E16" s="373"/>
      <c r="F16" s="132"/>
    </row>
    <row r="17" spans="1:10" ht="18.95" customHeight="1" x14ac:dyDescent="0.2">
      <c r="A17" s="374" t="str">
        <f>'Reference module'!B248</f>
        <v>• Use the calculator to work out the total deductible borrowing expenses for each rental property.</v>
      </c>
      <c r="B17" s="374"/>
      <c r="C17" s="374"/>
      <c r="D17" s="374"/>
      <c r="E17" s="374"/>
      <c r="F17" s="132"/>
    </row>
    <row r="18" spans="1:10" ht="31.5" customHeight="1" x14ac:dyDescent="0.2">
      <c r="A18" s="374" t="str">
        <f>'Reference module'!B262</f>
        <v>• myTax users – enter the total deductible borrowing expenses into myTax. The system will calculate your share using Ownership percentage.</v>
      </c>
      <c r="B18" s="374"/>
      <c r="C18" s="374"/>
      <c r="D18" s="374"/>
      <c r="E18" s="374"/>
      <c r="F18" s="132"/>
    </row>
    <row r="19" spans="1:10" s="8" customFormat="1" ht="37.5" customHeight="1" x14ac:dyDescent="0.2">
      <c r="A19" s="357" t="s">
        <v>8</v>
      </c>
      <c r="B19" s="358"/>
      <c r="C19" s="358"/>
      <c r="D19" s="358"/>
      <c r="E19" s="358"/>
      <c r="F19" s="138"/>
    </row>
    <row r="20" spans="1:10" ht="39.6" customHeight="1" x14ac:dyDescent="0.3">
      <c r="A20" s="359" t="str">
        <f>'Reference module'!B289</f>
        <v>Enter your information</v>
      </c>
      <c r="B20" s="359"/>
      <c r="C20" s="359"/>
      <c r="D20" s="359"/>
      <c r="E20" s="359"/>
      <c r="F20" s="132"/>
    </row>
    <row r="21" spans="1:10" ht="24.6" customHeight="1" x14ac:dyDescent="0.25">
      <c r="A21" s="375" t="str">
        <f>'Reference module'!B304</f>
        <v>Complete this section with your deductible borrowing expenses information.</v>
      </c>
      <c r="B21" s="375"/>
      <c r="C21" s="375"/>
      <c r="D21" s="375"/>
      <c r="E21" s="375"/>
      <c r="F21" s="132"/>
    </row>
    <row r="22" spans="1:10" ht="15" customHeight="1" x14ac:dyDescent="0.25">
      <c r="A22" s="360" t="s">
        <v>9</v>
      </c>
      <c r="B22" s="360"/>
      <c r="C22" s="360"/>
      <c r="D22" s="360"/>
      <c r="E22" s="360"/>
      <c r="F22" s="132"/>
      <c r="J22" s="5"/>
    </row>
    <row r="23" spans="1:10" ht="15" customHeight="1" x14ac:dyDescent="0.25">
      <c r="A23" s="360" t="s">
        <v>10</v>
      </c>
      <c r="B23" s="360"/>
      <c r="C23" s="360"/>
      <c r="D23" s="360"/>
      <c r="E23" s="360"/>
      <c r="F23" s="132"/>
      <c r="J23" s="5"/>
    </row>
    <row r="24" spans="1:10" ht="26.45" customHeight="1" x14ac:dyDescent="0.25">
      <c r="A24" s="369" t="str">
        <f>'Reference module'!B346</f>
        <v>Step 1 – Loan details</v>
      </c>
      <c r="B24" s="370"/>
      <c r="C24" s="370"/>
      <c r="D24" s="370"/>
      <c r="E24" s="370"/>
      <c r="F24" s="132"/>
    </row>
    <row r="25" spans="1:10" ht="26.45" customHeight="1" thickBot="1" x14ac:dyDescent="0.25">
      <c r="A25" s="133" t="str">
        <f>'Reference module'!B360</f>
        <v>Property name</v>
      </c>
      <c r="B25" s="372"/>
      <c r="C25" s="372"/>
      <c r="D25" s="372"/>
      <c r="E25" s="372"/>
      <c r="F25" s="132"/>
    </row>
    <row r="26" spans="1:10" ht="26.45" customHeight="1" thickBot="1" x14ac:dyDescent="0.25">
      <c r="A26" s="133" t="str">
        <f>'Reference module'!B388</f>
        <v>Address</v>
      </c>
      <c r="B26" s="376"/>
      <c r="C26" s="376"/>
      <c r="D26" s="376"/>
      <c r="E26" s="376"/>
      <c r="F26" s="132"/>
    </row>
    <row r="27" spans="1:10" ht="26.45" customHeight="1" thickBot="1" x14ac:dyDescent="0.25">
      <c r="A27" s="366" t="str">
        <f>'Reference module'!B416</f>
        <v>Total loan amount *</v>
      </c>
      <c r="B27" s="366"/>
      <c r="C27" s="366"/>
      <c r="D27" s="366"/>
      <c r="E27" s="142">
        <v>0</v>
      </c>
      <c r="F27" s="132"/>
      <c r="G27" s="7"/>
    </row>
    <row r="28" spans="1:10" ht="26.45" customHeight="1" thickBot="1" x14ac:dyDescent="0.25">
      <c r="A28" s="361" t="str">
        <f>'Reference module'!B444</f>
        <v>Loan settlement date *</v>
      </c>
      <c r="B28" s="361"/>
      <c r="C28" s="361"/>
      <c r="D28" s="361"/>
      <c r="E28" s="143"/>
      <c r="F28" s="132"/>
    </row>
    <row r="29" spans="1:10" ht="26.45" customHeight="1" thickBot="1" x14ac:dyDescent="0.25">
      <c r="A29" s="361" t="str">
        <f>'Reference module'!B472</f>
        <v>Loan term *</v>
      </c>
      <c r="B29" s="361"/>
      <c r="C29" s="361"/>
      <c r="D29" s="361"/>
      <c r="E29" s="144" t="s">
        <v>11</v>
      </c>
      <c r="F29" s="132"/>
      <c r="G29" s="7"/>
    </row>
    <row r="30" spans="1:10" ht="53.25" customHeight="1" thickBot="1" x14ac:dyDescent="0.25">
      <c r="A30" s="362" t="str">
        <f>'Reference module'!B541</f>
        <v>Was any part of the loan used for any other purpose? *
• Did you use some of the loan to buy something else (for example – a private motor vehicle) as well as the rental property.</v>
      </c>
      <c r="B30" s="362"/>
      <c r="C30" s="362"/>
      <c r="D30" s="362"/>
      <c r="E30" s="144" t="s">
        <v>11</v>
      </c>
      <c r="F30" s="132"/>
      <c r="G30" s="7"/>
      <c r="H30" s="61"/>
    </row>
    <row r="31" spans="1:10" ht="26.45" customHeight="1" x14ac:dyDescent="0.2">
      <c r="A31" s="361" t="str">
        <f>'Reference module'!B572</f>
        <v>Amount of loan used for another purpose (not used to purchase the rental property). *</v>
      </c>
      <c r="B31" s="361"/>
      <c r="C31" s="361"/>
      <c r="D31" s="361"/>
      <c r="E31" s="140">
        <v>0</v>
      </c>
      <c r="F31" s="132"/>
    </row>
    <row r="32" spans="1:10" ht="26.45" customHeight="1" x14ac:dyDescent="0.2">
      <c r="A32" s="388" t="str">
        <f>'Reference module'!B600</f>
        <v>Amount of loan used only for rental property purchase</v>
      </c>
      <c r="B32" s="388"/>
      <c r="C32" s="388"/>
      <c r="D32" s="388"/>
      <c r="E32" s="137">
        <f>'Reference module'!B621</f>
        <v>0</v>
      </c>
      <c r="F32" s="132"/>
      <c r="G32" s="7"/>
    </row>
    <row r="33" spans="1:15" ht="26.1" customHeight="1" x14ac:dyDescent="0.25">
      <c r="A33" s="369" t="str">
        <f>'Reference module'!B629</f>
        <v>Step 2 – Borrowing expenses</v>
      </c>
      <c r="B33" s="387"/>
      <c r="C33" s="387"/>
      <c r="D33" s="387"/>
      <c r="E33" s="375"/>
      <c r="F33" s="132"/>
      <c r="H33" s="3"/>
    </row>
    <row r="34" spans="1:15" ht="15" customHeight="1" x14ac:dyDescent="0.25">
      <c r="A34" s="362" t="str">
        <f>'Reference module'!B643</f>
        <v>• Total expenses to take out your loan.</v>
      </c>
      <c r="B34" s="362"/>
      <c r="C34" s="362"/>
      <c r="D34" s="362"/>
      <c r="E34" s="362"/>
      <c r="F34" s="132"/>
      <c r="H34" s="3"/>
    </row>
    <row r="35" spans="1:15" ht="31.5" customHeight="1" x14ac:dyDescent="0.25">
      <c r="A35" s="378" t="str">
        <f>'Reference module'!B657</f>
        <v>Description</v>
      </c>
      <c r="B35" s="378"/>
      <c r="C35" s="378"/>
      <c r="D35" s="378"/>
      <c r="E35" s="345" t="s">
        <v>12</v>
      </c>
      <c r="F35" s="132"/>
      <c r="G35" s="3"/>
      <c r="H35" s="3"/>
    </row>
    <row r="36" spans="1:15" ht="26.45" customHeight="1" thickBot="1" x14ac:dyDescent="0.3">
      <c r="A36" s="377" t="str">
        <f>'Reference module'!B685</f>
        <v>Loan establishment fees</v>
      </c>
      <c r="B36" s="377"/>
      <c r="C36" s="377"/>
      <c r="D36" s="377"/>
      <c r="E36" s="145">
        <v>0</v>
      </c>
      <c r="F36" s="132"/>
      <c r="H36" s="62"/>
      <c r="I36" s="59"/>
      <c r="J36" s="59"/>
    </row>
    <row r="37" spans="1:15" ht="26.45" customHeight="1" thickBot="1" x14ac:dyDescent="0.25">
      <c r="A37" s="362" t="str">
        <f>'Reference module'!B713</f>
        <v xml:space="preserve">Lender’s mortgage insurance
• Insurance the lender takes out and bills to you. </v>
      </c>
      <c r="B37" s="362"/>
      <c r="C37" s="362"/>
      <c r="D37" s="362"/>
      <c r="E37" s="142">
        <v>0</v>
      </c>
      <c r="F37" s="132"/>
      <c r="G37" s="7"/>
      <c r="H37" s="63"/>
    </row>
    <row r="38" spans="1:15" ht="26.45" customHeight="1" thickBot="1" x14ac:dyDescent="0.25">
      <c r="A38" s="377" t="str">
        <f>'Reference module'!B741</f>
        <v>Stamp duty charged on mortgage registration (passed on by your lender)</v>
      </c>
      <c r="B38" s="377"/>
      <c r="C38" s="377"/>
      <c r="D38" s="377"/>
      <c r="E38" s="142">
        <v>0</v>
      </c>
      <c r="F38" s="132"/>
      <c r="G38" s="7"/>
      <c r="H38" s="64"/>
    </row>
    <row r="39" spans="1:15" ht="26.45" customHeight="1" thickBot="1" x14ac:dyDescent="0.25">
      <c r="A39" s="377" t="str">
        <f>'Reference module'!B769</f>
        <v>Title search fees (charged by your lender)</v>
      </c>
      <c r="B39" s="377"/>
      <c r="C39" s="377"/>
      <c r="D39" s="377"/>
      <c r="E39" s="142">
        <v>0</v>
      </c>
      <c r="F39" s="132"/>
      <c r="G39" s="7"/>
      <c r="H39" s="64"/>
    </row>
    <row r="40" spans="1:15" ht="26.45" customHeight="1" thickBot="1" x14ac:dyDescent="0.25">
      <c r="A40" s="362" t="str">
        <f>'Reference module'!B797</f>
        <v>Costs to prepare and file mortgage documents (including solicitors’ fees)</v>
      </c>
      <c r="B40" s="362"/>
      <c r="C40" s="362"/>
      <c r="D40" s="362"/>
      <c r="E40" s="142">
        <v>0</v>
      </c>
      <c r="F40" s="132"/>
      <c r="G40" s="7"/>
      <c r="H40" s="4"/>
      <c r="I40" s="8"/>
      <c r="J40" s="8"/>
      <c r="K40" s="8"/>
      <c r="L40" s="8"/>
      <c r="M40" s="8"/>
      <c r="N40" s="8"/>
      <c r="O40" s="8"/>
    </row>
    <row r="41" spans="1:15" ht="26.45" customHeight="1" thickBot="1" x14ac:dyDescent="0.25">
      <c r="A41" s="362" t="str">
        <f>'Reference module'!B825</f>
        <v>Mortgage broker fees</v>
      </c>
      <c r="B41" s="362"/>
      <c r="C41" s="362"/>
      <c r="D41" s="362"/>
      <c r="E41" s="142">
        <v>0</v>
      </c>
      <c r="F41" s="132"/>
      <c r="G41" s="7"/>
      <c r="H41" s="63"/>
      <c r="M41" s="61"/>
    </row>
    <row r="42" spans="1:15" ht="26.45" customHeight="1" x14ac:dyDescent="0.2">
      <c r="A42" s="362" t="str">
        <f>'Reference module'!B853</f>
        <v>Fees for a valuation required for a loan approval</v>
      </c>
      <c r="B42" s="362"/>
      <c r="C42" s="362"/>
      <c r="D42" s="362"/>
      <c r="E42" s="146">
        <v>0</v>
      </c>
      <c r="F42" s="132"/>
      <c r="G42" s="7"/>
      <c r="H42" s="63"/>
    </row>
    <row r="43" spans="1:15" ht="31.5" customHeight="1" x14ac:dyDescent="0.2">
      <c r="A43" s="363" t="str">
        <f>'Reference module'!B881</f>
        <v>Total borrowing expenses</v>
      </c>
      <c r="B43" s="363"/>
      <c r="C43" s="363"/>
      <c r="D43" s="363"/>
      <c r="E43" s="141">
        <f>'Reference module'!B895</f>
        <v>0</v>
      </c>
      <c r="F43" s="132"/>
      <c r="G43" s="7"/>
    </row>
    <row r="44" spans="1:15" ht="39.6" customHeight="1" x14ac:dyDescent="0.3">
      <c r="A44" s="359" t="str">
        <f>'Reference module'!B909</f>
        <v>Information entry guidance – see here for help</v>
      </c>
      <c r="B44" s="359"/>
      <c r="C44" s="359"/>
      <c r="D44" s="359"/>
      <c r="E44" s="359"/>
      <c r="F44" s="132"/>
      <c r="G44" s="7"/>
    </row>
    <row r="45" spans="1:15" ht="28.5" customHeight="1" x14ac:dyDescent="0.2">
      <c r="A45" s="385" t="str">
        <f>'Reference module'!B923</f>
        <v>• You haven't yet completed Step 1 – Loan details. You haven't entered a Total loan amount.</v>
      </c>
      <c r="B45" s="386"/>
      <c r="C45" s="386"/>
      <c r="D45" s="386"/>
      <c r="E45" s="386"/>
      <c r="F45" s="132"/>
      <c r="G45" s="7"/>
    </row>
    <row r="46" spans="1:15" ht="39.6" customHeight="1" x14ac:dyDescent="0.3">
      <c r="A46" s="359" t="str">
        <f>'Reference module'!B937</f>
        <v>Result</v>
      </c>
      <c r="B46" s="359"/>
      <c r="C46" s="359"/>
      <c r="D46" s="359"/>
      <c r="E46" s="359"/>
      <c r="F46" s="132"/>
    </row>
    <row r="47" spans="1:15" ht="24.6" customHeight="1" x14ac:dyDescent="0.2">
      <c r="A47" s="380" t="str">
        <f>'Reference module'!B951</f>
        <v>• Based on the information entered, your claimable amounts for each year are detailed here.</v>
      </c>
      <c r="B47" s="380"/>
      <c r="C47" s="380"/>
      <c r="D47" s="380"/>
      <c r="E47" s="380"/>
      <c r="F47" s="132"/>
    </row>
    <row r="48" spans="1:15" ht="30" customHeight="1" x14ac:dyDescent="0.2">
      <c r="A48" s="139" t="str">
        <f>'Reference module'!B965</f>
        <v>Property name</v>
      </c>
      <c r="B48" s="381" t="str">
        <f>'Reference module'!B979</f>
        <v/>
      </c>
      <c r="C48" s="381"/>
      <c r="D48" s="381"/>
      <c r="E48" s="381"/>
      <c r="F48" s="132"/>
      <c r="G48" s="7"/>
    </row>
    <row r="49" spans="1:15" ht="30" customHeight="1" x14ac:dyDescent="0.2">
      <c r="A49" s="139" t="str">
        <f>'Reference module'!B993</f>
        <v>Address</v>
      </c>
      <c r="B49" s="382" t="str">
        <f>'Reference module'!B1007</f>
        <v/>
      </c>
      <c r="C49" s="382"/>
      <c r="D49" s="382"/>
      <c r="E49" s="382"/>
      <c r="F49" s="132"/>
      <c r="G49" s="7"/>
    </row>
    <row r="50" spans="1:15" ht="29.25" customHeight="1" x14ac:dyDescent="0.2">
      <c r="A50" s="364" t="str">
        <f>'Reference module'!B1021</f>
        <v>Borrowing expenses adjusted for loan use</v>
      </c>
      <c r="B50" s="364"/>
      <c r="C50" s="384" t="str">
        <f>'Reference module'!B1035</f>
        <v>($0.00 × $0.00 ÷ $0.00)</v>
      </c>
      <c r="D50" s="384"/>
      <c r="E50" s="137">
        <f>'Reference module'!B1049</f>
        <v>0</v>
      </c>
      <c r="F50" s="132"/>
      <c r="G50" s="7"/>
      <c r="H50" s="53"/>
      <c r="I50" s="53"/>
      <c r="J50" s="53"/>
      <c r="K50" s="53"/>
      <c r="L50" s="53"/>
    </row>
    <row r="51" spans="1:15" ht="20.45" customHeight="1" x14ac:dyDescent="0.25">
      <c r="A51" s="383" t="str">
        <f>'Reference module'!B1063</f>
        <v>Deductible borrowing expenses for each year</v>
      </c>
      <c r="B51" s="383"/>
      <c r="C51" s="383"/>
      <c r="D51" s="383"/>
      <c r="E51" s="383"/>
      <c r="F51" s="132"/>
      <c r="G51" s="7"/>
      <c r="H51" s="53"/>
      <c r="I51" s="53"/>
      <c r="J51" s="53"/>
      <c r="K51" s="53"/>
      <c r="L51" s="53"/>
    </row>
    <row r="52" spans="1:15" ht="28.5" customHeight="1" x14ac:dyDescent="0.2">
      <c r="A52" s="362" t="str">
        <f>'Reference module'!B1077</f>
        <v>• You haven't correctly completed Step 1 – Loan details or Step 2 – Borrowing expenses so we can't calculate any claim amounts. Check Information entry guidance for more information.</v>
      </c>
      <c r="B52" s="362"/>
      <c r="C52" s="362"/>
      <c r="D52" s="362"/>
      <c r="E52" s="362"/>
      <c r="F52" s="132"/>
      <c r="G52" s="50"/>
      <c r="H52" s="53"/>
      <c r="I52" s="53"/>
      <c r="J52" s="53"/>
      <c r="K52" s="53"/>
      <c r="L52" s="54"/>
    </row>
    <row r="53" spans="1:15" ht="30" customHeight="1" x14ac:dyDescent="0.25">
      <c r="A53" s="135"/>
      <c r="B53" s="134" t="str">
        <f>'Reference module'!B1175</f>
        <v>Claim year</v>
      </c>
      <c r="C53" s="134" t="str">
        <f>'Reference module'!C1175</f>
        <v>Days</v>
      </c>
      <c r="D53" s="134" t="str">
        <f>'Reference module'!D1175</f>
        <v>Amount to claim</v>
      </c>
      <c r="E53" s="135"/>
      <c r="F53" s="132"/>
      <c r="G53" s="7"/>
      <c r="H53" s="54"/>
      <c r="I53" s="54"/>
      <c r="J53" s="54"/>
      <c r="K53" s="54"/>
      <c r="L53" s="55"/>
    </row>
    <row r="54" spans="1:15" ht="30" customHeight="1" x14ac:dyDescent="0.2">
      <c r="A54" s="135"/>
      <c r="B54" s="73" t="str">
        <f>'Reference module'!B1176</f>
        <v>-</v>
      </c>
      <c r="C54" s="74" t="str">
        <f>'Reference module'!C1176</f>
        <v>0</v>
      </c>
      <c r="D54" s="107">
        <f>'Reference module'!D1176</f>
        <v>0</v>
      </c>
      <c r="E54" s="135"/>
      <c r="F54" s="132"/>
      <c r="H54" s="56"/>
      <c r="I54" s="56"/>
      <c r="J54" s="56"/>
      <c r="K54" s="55"/>
      <c r="L54" s="55"/>
      <c r="M54" s="48"/>
    </row>
    <row r="55" spans="1:15" ht="30" customHeight="1" x14ac:dyDescent="0.2">
      <c r="A55" s="135"/>
      <c r="B55" s="73" t="str">
        <f>'Reference module'!B1177</f>
        <v>-</v>
      </c>
      <c r="C55" s="74" t="str">
        <f>'Reference module'!C1177</f>
        <v>0</v>
      </c>
      <c r="D55" s="107">
        <f>'Reference module'!D1177</f>
        <v>0</v>
      </c>
      <c r="E55" s="135"/>
      <c r="F55" s="132"/>
      <c r="H55" s="56"/>
      <c r="I55" s="56"/>
      <c r="J55" s="56"/>
      <c r="K55" s="55"/>
      <c r="L55" s="55"/>
      <c r="M55" s="48"/>
      <c r="O55" s="49"/>
    </row>
    <row r="56" spans="1:15" ht="30" customHeight="1" x14ac:dyDescent="0.2">
      <c r="A56" s="135"/>
      <c r="B56" s="73" t="str">
        <f>'Reference module'!B1178</f>
        <v>-</v>
      </c>
      <c r="C56" s="74" t="str">
        <f>'Reference module'!C1178</f>
        <v>0</v>
      </c>
      <c r="D56" s="107">
        <f>'Reference module'!D1178</f>
        <v>0</v>
      </c>
      <c r="E56" s="135"/>
      <c r="F56" s="132"/>
      <c r="H56" s="56"/>
      <c r="I56" s="56"/>
      <c r="J56" s="56"/>
      <c r="K56" s="55"/>
      <c r="L56" s="55"/>
      <c r="M56" s="48"/>
    </row>
    <row r="57" spans="1:15" ht="30" customHeight="1" x14ac:dyDescent="0.2">
      <c r="A57" s="135"/>
      <c r="B57" s="73" t="str">
        <f>'Reference module'!B1179</f>
        <v>-</v>
      </c>
      <c r="C57" s="74" t="str">
        <f>'Reference module'!C1179</f>
        <v>0</v>
      </c>
      <c r="D57" s="107">
        <f>'Reference module'!D1179</f>
        <v>0</v>
      </c>
      <c r="E57" s="135"/>
      <c r="F57" s="132"/>
      <c r="H57" s="56"/>
      <c r="I57" s="56"/>
      <c r="J57" s="56"/>
      <c r="K57" s="55"/>
      <c r="L57" s="55"/>
      <c r="M57" s="48"/>
    </row>
    <row r="58" spans="1:15" ht="30" customHeight="1" x14ac:dyDescent="0.2">
      <c r="A58" s="135"/>
      <c r="B58" s="73" t="str">
        <f>'Reference module'!B1180</f>
        <v>-</v>
      </c>
      <c r="C58" s="74" t="str">
        <f>'Reference module'!C1180</f>
        <v>0</v>
      </c>
      <c r="D58" s="107">
        <f>'Reference module'!D1180</f>
        <v>0</v>
      </c>
      <c r="E58" s="135"/>
      <c r="F58" s="132"/>
      <c r="H58" s="56"/>
      <c r="I58" s="56"/>
      <c r="J58" s="56"/>
      <c r="K58" s="55"/>
      <c r="L58" s="55"/>
      <c r="M58" s="48"/>
    </row>
    <row r="59" spans="1:15" ht="30" customHeight="1" x14ac:dyDescent="0.2">
      <c r="A59" s="135"/>
      <c r="B59" s="73" t="str">
        <f>'Reference module'!B1181</f>
        <v>-</v>
      </c>
      <c r="C59" s="74" t="str">
        <f>'Reference module'!C1181</f>
        <v>0</v>
      </c>
      <c r="D59" s="107">
        <f>'Reference module'!D1181</f>
        <v>0</v>
      </c>
      <c r="E59" s="135"/>
      <c r="F59" s="132"/>
      <c r="H59" s="56"/>
      <c r="I59" s="56"/>
      <c r="J59" s="56"/>
      <c r="K59" s="55"/>
      <c r="L59" s="55"/>
      <c r="M59" s="48"/>
    </row>
    <row r="60" spans="1:15" ht="30" customHeight="1" x14ac:dyDescent="0.2">
      <c r="A60" s="135"/>
      <c r="B60" s="135"/>
      <c r="C60" s="135"/>
      <c r="D60" s="136">
        <f>'Reference module'!D1182</f>
        <v>0</v>
      </c>
      <c r="E60" s="135"/>
      <c r="F60" s="132"/>
      <c r="H60" s="57"/>
      <c r="I60" s="57"/>
      <c r="J60" s="55"/>
      <c r="K60" s="55"/>
      <c r="L60" s="55"/>
    </row>
    <row r="61" spans="1:15" ht="30.95" customHeight="1" x14ac:dyDescent="0.25">
      <c r="A61" s="379" t="str">
        <f>'Reference module'!B1193</f>
        <v>Get your rental expenses claim right:</v>
      </c>
      <c r="B61" s="365"/>
      <c r="C61" s="365"/>
      <c r="D61" s="365"/>
      <c r="E61" s="365"/>
      <c r="F61" s="132"/>
      <c r="H61" s="52"/>
    </row>
    <row r="62" spans="1:15" ht="115.5" customHeight="1" x14ac:dyDescent="0.2">
      <c r="A62" s="365" t="s">
        <v>13</v>
      </c>
      <c r="B62" s="365"/>
      <c r="C62" s="365"/>
      <c r="D62" s="365"/>
      <c r="E62" s="365"/>
      <c r="F62" s="132"/>
    </row>
    <row r="63" spans="1:15" ht="25.5" customHeight="1" x14ac:dyDescent="0.25">
      <c r="A63" s="355" t="str">
        <f ca="1">HYPERLINK('Reference module'!B1251,"To learn more, see 'Apportionment of rental expenses'.")</f>
        <v>To learn more, see 'Apportionment of rental expenses'.</v>
      </c>
      <c r="B63" s="356"/>
      <c r="C63" s="356"/>
      <c r="D63" s="356"/>
      <c r="E63" s="356"/>
      <c r="F63" s="356"/>
    </row>
    <row r="64" spans="1:15" ht="91.5" customHeight="1" x14ac:dyDescent="0.2">
      <c r="A64" s="353" t="str">
        <f>'Reference module'!B1235</f>
        <v>Retain this for your future tax returns.</v>
      </c>
      <c r="B64" s="353"/>
      <c r="C64" s="353"/>
      <c r="D64" s="353"/>
      <c r="E64" s="353"/>
      <c r="F64" s="132"/>
      <c r="G64" s="7"/>
    </row>
    <row r="65" spans="1:6" hidden="1" x14ac:dyDescent="0.2">
      <c r="A65" s="132" t="s">
        <v>14</v>
      </c>
      <c r="B65" s="132" t="s">
        <v>14</v>
      </c>
      <c r="C65" s="132" t="s">
        <v>14</v>
      </c>
      <c r="D65" s="132" t="s">
        <v>14</v>
      </c>
      <c r="E65" s="132" t="s">
        <v>14</v>
      </c>
      <c r="F65" s="132"/>
    </row>
    <row r="73" spans="1:6" hidden="1" x14ac:dyDescent="0.2">
      <c r="A73" s="51"/>
    </row>
    <row r="94" spans="1:5" ht="14.25" hidden="1" customHeight="1" x14ac:dyDescent="0.2">
      <c r="A94" s="8"/>
      <c r="B94" s="8"/>
      <c r="C94" s="8"/>
      <c r="D94" s="8"/>
    </row>
    <row r="95" spans="1:5" hidden="1" x14ac:dyDescent="0.2">
      <c r="A95" s="8"/>
      <c r="B95" s="4"/>
      <c r="C95" s="4"/>
      <c r="D95" s="4"/>
      <c r="E95" s="8"/>
    </row>
    <row r="96" spans="1:5" ht="15.75" hidden="1" customHeight="1" x14ac:dyDescent="0.2"/>
    <row r="97" spans="1:11" ht="53.25" hidden="1" customHeight="1" x14ac:dyDescent="0.2">
      <c r="A97" s="6"/>
      <c r="B97" s="6"/>
      <c r="C97" s="6"/>
      <c r="D97" s="6"/>
    </row>
    <row r="98" spans="1:11" ht="57" hidden="1" customHeight="1" x14ac:dyDescent="0.2">
      <c r="A98" s="8"/>
      <c r="B98" s="4"/>
      <c r="C98" s="4"/>
      <c r="D98" s="4"/>
    </row>
    <row r="101" spans="1:11" ht="60" hidden="1" customHeight="1" x14ac:dyDescent="0.2"/>
    <row r="102" spans="1:11" ht="70.5" hidden="1" customHeight="1" x14ac:dyDescent="0.2">
      <c r="G102" s="8"/>
      <c r="H102" s="8"/>
      <c r="I102" s="8"/>
      <c r="J102" s="8"/>
      <c r="K102" s="8"/>
    </row>
    <row r="103" spans="1:11" ht="14.25" hidden="1" customHeight="1" x14ac:dyDescent="0.2">
      <c r="G103" s="8"/>
      <c r="H103" s="8"/>
      <c r="I103" s="8"/>
      <c r="J103" s="8"/>
      <c r="K103" s="8"/>
    </row>
    <row r="116" spans="1:1" ht="15" hidden="1" x14ac:dyDescent="0.25">
      <c r="A116" s="59"/>
    </row>
    <row r="117" spans="1:1" hidden="1" x14ac:dyDescent="0.2">
      <c r="A117" s="60"/>
    </row>
    <row r="118" spans="1:1" hidden="1" x14ac:dyDescent="0.2">
      <c r="A118" s="60"/>
    </row>
  </sheetData>
  <sheetProtection algorithmName="SHA-256" hashValue="Bpc2LV7l1H9evq1Gz3qnuvonlLm3d0XqvAruYn/w0Cg=" saltValue="o9a7JTe9PKLIWeW5wHP3Kg==" spinCount="100000" sheet="1" objects="1" scenarios="1"/>
  <mergeCells count="58">
    <mergeCell ref="A39:D39"/>
    <mergeCell ref="A35:D35"/>
    <mergeCell ref="A31:D31"/>
    <mergeCell ref="A63:F63"/>
    <mergeCell ref="A61:E61"/>
    <mergeCell ref="A47:E47"/>
    <mergeCell ref="B48:E48"/>
    <mergeCell ref="B49:E49"/>
    <mergeCell ref="A51:E51"/>
    <mergeCell ref="C50:D50"/>
    <mergeCell ref="A45:E45"/>
    <mergeCell ref="A33:E33"/>
    <mergeCell ref="A32:D32"/>
    <mergeCell ref="A36:D36"/>
    <mergeCell ref="A37:D37"/>
    <mergeCell ref="A34:E34"/>
    <mergeCell ref="A30:D30"/>
    <mergeCell ref="A44:E44"/>
    <mergeCell ref="A6:E6"/>
    <mergeCell ref="A7:E7"/>
    <mergeCell ref="A11:E11"/>
    <mergeCell ref="A12:E12"/>
    <mergeCell ref="B25:E25"/>
    <mergeCell ref="A16:E16"/>
    <mergeCell ref="A17:E17"/>
    <mergeCell ref="A21:E21"/>
    <mergeCell ref="A18:E18"/>
    <mergeCell ref="A22:E22"/>
    <mergeCell ref="A15:E15"/>
    <mergeCell ref="B26:E26"/>
    <mergeCell ref="A40:D40"/>
    <mergeCell ref="A38:D38"/>
    <mergeCell ref="A5:E5"/>
    <mergeCell ref="A9:E9"/>
    <mergeCell ref="A10:E10"/>
    <mergeCell ref="A8:E8"/>
    <mergeCell ref="A24:E24"/>
    <mergeCell ref="A64:E64"/>
    <mergeCell ref="A13:E13"/>
    <mergeCell ref="A14:E14"/>
    <mergeCell ref="A19:E19"/>
    <mergeCell ref="A20:E20"/>
    <mergeCell ref="A23:E23"/>
    <mergeCell ref="A28:D28"/>
    <mergeCell ref="A29:D29"/>
    <mergeCell ref="A41:D41"/>
    <mergeCell ref="A42:D42"/>
    <mergeCell ref="A43:D43"/>
    <mergeCell ref="A46:E46"/>
    <mergeCell ref="A52:E52"/>
    <mergeCell ref="A50:B50"/>
    <mergeCell ref="A62:E62"/>
    <mergeCell ref="A27:D27"/>
    <mergeCell ref="A2:E2"/>
    <mergeCell ref="C4:E4"/>
    <mergeCell ref="A4:B4"/>
    <mergeCell ref="A3:E3"/>
    <mergeCell ref="A1:E1"/>
  </mergeCells>
  <conditionalFormatting sqref="E31">
    <cfRule type="expression" dxfId="82" priority="9">
      <formula>IF(AND($E$30="",$E$31&gt;0),TRUE,FALSE)</formula>
    </cfRule>
    <cfRule type="expression" dxfId="81" priority="10">
      <formula>IF(AND($E$30="No",$E$31&lt;&gt;0),TRUE,FALSE)</formula>
    </cfRule>
    <cfRule type="expression" dxfId="80" priority="12">
      <formula>IF(AND($E$30="Yes",$E$31=0),TRUE,FALSE)</formula>
    </cfRule>
    <cfRule type="expression" dxfId="78" priority="222">
      <formula>IF($E$31&gt;$E$27,TRUE,FALSE)</formula>
    </cfRule>
  </conditionalFormatting>
  <conditionalFormatting sqref="E36">
    <cfRule type="expression" dxfId="77" priority="8">
      <formula>IF(E36&lt;0,TRUE,FALSE)</formula>
    </cfRule>
  </conditionalFormatting>
  <conditionalFormatting sqref="E37">
    <cfRule type="expression" dxfId="76" priority="7">
      <formula>IF($E$37&lt;0,TRUE,FALSE)</formula>
    </cfRule>
  </conditionalFormatting>
  <conditionalFormatting sqref="E38">
    <cfRule type="expression" dxfId="75" priority="6">
      <formula>-IF($E$38&lt;0,TRUE,FALSE)</formula>
    </cfRule>
  </conditionalFormatting>
  <conditionalFormatting sqref="E39">
    <cfRule type="expression" dxfId="74" priority="5">
      <formula>IF($E$39&lt;0,TRUE,FALSE)</formula>
    </cfRule>
  </conditionalFormatting>
  <conditionalFormatting sqref="E40">
    <cfRule type="expression" dxfId="73" priority="4">
      <formula>IF($E$40&lt;0,TRUE,FALSE)</formula>
    </cfRule>
  </conditionalFormatting>
  <conditionalFormatting sqref="E41">
    <cfRule type="expression" dxfId="72" priority="3">
      <formula>-IF($E$41&lt;0,TRUE,FALSE)</formula>
    </cfRule>
  </conditionalFormatting>
  <conditionalFormatting sqref="E42">
    <cfRule type="expression" dxfId="71" priority="1">
      <formula>IF($E$42&lt;0,TRUE,FALSE)</formula>
    </cfRule>
  </conditionalFormatting>
  <dataValidations count="1">
    <dataValidation allowBlank="1" showInputMessage="1" showErrorMessage="1" errorTitle="Please check this amount." sqref="H37" xr:uid="{9622B583-B942-4CB2-96B9-11AC6075EB25}"/>
  </dataValidations>
  <hyperlinks>
    <hyperlink ref="A9" location="'Project pool deduction'!A11" display="• Things you need to know" xr:uid="{D17C75C9-3011-41D1-9949-763EA3B48B32}"/>
    <hyperlink ref="A10" location="'Project pool deduction'!A16" display="• Enter your information here to allow your project pool and closing pool balance to be worked out" xr:uid="{4475C0B0-FD9A-4222-998D-C3548EF4B7AD}"/>
    <hyperlink ref="A12" location="'Project pool deduction'!A33" display="• Result - your project pool deduction and closing pool value is detailed here" xr:uid="{87F0D457-F4D5-4474-B990-3F94F06628E3}"/>
    <hyperlink ref="A11" location="'Project pool deduction'!A31" display="• Guidance for field entries - to help you correctly complete the calculator" xr:uid="{D5D3971B-9C31-4772-B152-8E7425235171}"/>
    <hyperlink ref="A9:E9" location="'Borrowing expenses'!A13" display="• Things to know" xr:uid="{C9319EEF-0CB8-4E83-A22E-C4772529DC21}"/>
    <hyperlink ref="A10:E10" location="'Borrowing expenses'!A20" display="• Enter your information" xr:uid="{09602029-DF02-45A8-9DD1-DDF28DD4FF09}"/>
    <hyperlink ref="A11:E11" location="'Borrowing expenses'!A44" display="• Information entry guidance" xr:uid="{B53B2EEF-5DD9-490C-9173-E0BF027AFE91}"/>
    <hyperlink ref="A12:E12" location="'Borrowing expenses'!A46" display="• Result" xr:uid="{C2F2221D-B371-4E76-A269-CA2872027D8D}"/>
  </hyperlinks>
  <printOptions horizontalCentered="1"/>
  <pageMargins left="0.23622047244094491" right="0.23622047244094491" top="0.55118110236220474" bottom="0.55118110236220474" header="0.31496062992125984" footer="0.31496062992125984"/>
  <pageSetup paperSize="9" scale="63" orientation="portrait" horizontalDpi="300" verticalDpi="300" r:id="rId1"/>
  <headerFooter>
    <oddHeader>&amp;COFFICIAL</oddHeader>
    <oddFooter>&amp;COFFICIAL</oddFooter>
  </headerFooter>
  <rowBreaks count="1" manualBreakCount="1">
    <brk id="45" max="16383" man="1"/>
  </rowBreaks>
  <ignoredErrors>
    <ignoredError sqref="D60" evalError="1"/>
  </ignoredErrors>
  <drawing r:id="rId2"/>
  <extLst>
    <ext xmlns:x14="http://schemas.microsoft.com/office/spreadsheetml/2009/9/main" uri="{78C0D931-6437-407d-A8EE-F0AAD7539E65}">
      <x14:conditionalFormattings>
        <x14:conditionalFormatting xmlns:xm="http://schemas.microsoft.com/office/excel/2006/main">
          <x14:cfRule type="expression" priority="13" id="{6BCEAE35-3D15-4327-8B20-0C70A336A7C4}">
            <xm:f>IF(AND($E$30='Reference module'!$B$558,$E$31&lt;&gt;0),TRUE,FALSE)</xm:f>
            <x14:dxf>
              <fill>
                <patternFill>
                  <bgColor rgb="FFFFC000"/>
                </patternFill>
              </fill>
            </x14:dxf>
          </x14:cfRule>
          <xm:sqref>E31</xm:sqref>
        </x14:conditionalFormatting>
      </x14:conditionalFormattings>
    </ext>
    <ext xmlns:x14="http://schemas.microsoft.com/office/spreadsheetml/2009/9/main" uri="{CCE6A557-97BC-4b89-ADB6-D9C93CAAB3DF}">
      <x14:dataValidations xmlns:xm="http://schemas.microsoft.com/office/excel/2006/main" count="16">
        <x14:dataValidation type="list" allowBlank="1" showInputMessage="1" showErrorMessage="1" error="Choose a loan term from the drop down._x000a_Text cannot be entered." xr:uid="{22EB6CA4-F77E-4DCB-8B4A-1AE3A15F2A32}">
          <x14:formula1>
            <xm:f>'Reference module'!$B$489:$B$529</xm:f>
          </x14:formula1>
          <xm:sqref>E29</xm:sqref>
        </x14:dataValidation>
        <x14:dataValidation type="list" allowBlank="1" showInputMessage="1" showErrorMessage="1" error="Choose Yes or No from the drop down list." xr:uid="{704D4F26-4C84-40EE-9302-69C2E03B1D5C}">
          <x14:formula1>
            <xm:f>'Reference module'!$B$558:$B$560</xm:f>
          </x14:formula1>
          <xm:sqref>E30</xm:sqref>
        </x14:dataValidation>
        <x14:dataValidation type="decimal" errorStyle="warning" operator="lessThanOrEqual" allowBlank="1" showInputMessage="1" showErrorMessage="1" errorTitle="Please check this amount." error="Title search fees (charged by your lender) seem high._x000a__x000a_Please check your loan documentation before proceeding." xr:uid="{52AFB5A0-1714-47CB-915D-8EB05BC0E904}">
          <x14:formula1>
            <xm:f>'Reference module'!B787</xm:f>
          </x14:formula1>
          <xm:sqref>E39</xm:sqref>
        </x14:dataValidation>
        <x14:dataValidation type="decimal" errorStyle="warning" operator="lessThanOrEqual" allowBlank="1" showInputMessage="1" showErrorMessage="1" errorTitle="Please check this amount." error="Stamp duty on mortgage registration is:_x000a_- different to the stamp duty charged by your state government on transfer of your property._x000a_- usually no more than a few hundred dollars and would have been passed on by your lender." xr:uid="{60BCBB83-100D-4AAE-AB10-82116D2464CB}">
          <x14:formula1>
            <xm:f>'Reference module'!B759</xm:f>
          </x14:formula1>
          <xm:sqref>E38</xm:sqref>
        </x14:dataValidation>
        <x14:dataValidation type="decimal" errorStyle="warning" operator="lessThanOrEqual" allowBlank="1" showInputMessage="1" showErrorMessage="1" errorTitle="Please check this amount." error="Your loan establishment fees seem high._x000a__x000a_Please check your loan documentation before proceeding." xr:uid="{43C788A3-0006-430A-815D-A0CC0E1FD9F0}">
          <x14:formula1>
            <xm:f>'Reference module'!B703</xm:f>
          </x14:formula1>
          <xm:sqref>E36</xm:sqref>
        </x14:dataValidation>
        <x14:dataValidation type="decimal" errorStyle="warning" operator="lessThanOrEqual" allowBlank="1" showInputMessage="1" showErrorMessage="1" errorTitle="Please check this amount." error="Your mortgage lenders insurance seems high._x000a__x000a_Please check your loan documentation before proceeding._x000a_" xr:uid="{08E369ED-751F-4EB5-AA48-F22158E28D32}">
          <x14:formula1>
            <xm:f>'Reference module'!B731</xm:f>
          </x14:formula1>
          <xm:sqref>E37</xm:sqref>
        </x14:dataValidation>
        <x14:dataValidation type="decimal" errorStyle="warning" operator="lessThanOrEqual" allowBlank="1" showInputMessage="1" showErrorMessage="1" errorTitle="Please check this amount." error="Costs to prepare &amp; file mortgage documents are:_x000a_- different to solictor or conveyancing charges to transfer your property._x000a_- are costs passed on by your lender._x000a__x000a_Please check your loan documentation as the amount seems high._x000a_" xr:uid="{67DF87C4-D4F1-44F8-BE49-E42F797BE753}">
          <x14:formula1>
            <xm:f>'Reference module'!B815</xm:f>
          </x14:formula1>
          <xm:sqref>E40</xm:sqref>
        </x14:dataValidation>
        <x14:dataValidation type="decimal" errorStyle="warning" operator="lessThanOrEqual" allowBlank="1" showInputMessage="1" showErrorMessage="1" errorTitle="Please check this amount." error="You can only claim a deduction for mortgage broker fees directly paid by you, not for any commission paid to a broker by your lender._x000a__x000a_Please check your statement before proceeding." xr:uid="{B516166C-7B54-4CF8-9FF7-F7CC7E876439}">
          <x14:formula1>
            <xm:f>'Reference module'!B843</xm:f>
          </x14:formula1>
          <xm:sqref>E41</xm:sqref>
        </x14:dataValidation>
        <x14:dataValidation type="decimal" errorStyle="warning" operator="lessThanOrEqual" allowBlank="1" showInputMessage="1" showErrorMessage="1" errorTitle="Please check this amount." error="Your loan approval valuation fees (charged by your lender) seem high._x000a__x000a_Please check your loan documentation before proceeding." xr:uid="{EB7C2EA8-B1A4-40F4-B1FF-9D0A02006032}">
          <x14:formula1>
            <xm:f>'Reference module'!B871</xm:f>
          </x14:formula1>
          <xm:sqref>E42</xm:sqref>
        </x14:dataValidation>
        <x14:dataValidation type="date" showErrorMessage="1" errorTitle="VALID DATE REQUIRED" error="A valid date is required between 1/07/2013 and today." xr:uid="{37A2FC6C-9639-4DB0-99DA-9F04E662E83D}">
          <x14:formula1>
            <xm:f>'Reference module'!B461</xm:f>
          </x14:formula1>
          <x14:formula2>
            <xm:f>'Reference module'!B462</xm:f>
          </x14:formula2>
          <xm:sqref>E28</xm:sqref>
        </x14:dataValidation>
        <x14:dataValidation type="textLength" operator="lessThan" allowBlank="1" showInputMessage="1" showErrorMessage="1" errorTitle="Field size limit" error="The number of characters that you may enter is limited to 50." xr:uid="{1527A282-C716-48C1-8DAE-01410652FD65}">
          <x14:formula1>
            <xm:f>'Reference module'!B374</xm:f>
          </x14:formula1>
          <xm:sqref>A25</xm:sqref>
        </x14:dataValidation>
        <x14:dataValidation type="textLength" operator="lessThan" allowBlank="1" showInputMessage="1" showErrorMessage="1" errorTitle="Field size limit" error="The number of characters that you may enter is limited to 50." xr:uid="{CB9CD4DC-BA37-45B9-9422-189D3140037D}">
          <x14:formula1>
            <xm:f>'Reference module'!B376</xm:f>
          </x14:formula1>
          <xm:sqref>A26</xm:sqref>
        </x14:dataValidation>
        <x14:dataValidation type="textLength" allowBlank="1" showInputMessage="1" showErrorMessage="1" error="The number of characters that you may enter is limited to 50." xr:uid="{B24DFD3F-9850-4F8B-8D08-DBFFD132085B}">
          <x14:formula1>
            <xm:f>0</xm:f>
          </x14:formula1>
          <x14:formula2>
            <xm:f>'Reference module'!B375</xm:f>
          </x14:formula2>
          <xm:sqref>B25:E25</xm:sqref>
        </x14:dataValidation>
        <x14:dataValidation type="textLength" allowBlank="1" showInputMessage="1" showErrorMessage="1" error="The number of chararacters that you may enter is 50." xr:uid="{91556F4F-E7A1-4857-9312-919F9AD86618}">
          <x14:formula1>
            <xm:f>0</xm:f>
          </x14:formula1>
          <x14:formula2>
            <xm:f>'Reference module'!B403</xm:f>
          </x14:formula2>
          <xm:sqref>B26:E26</xm:sqref>
        </x14:dataValidation>
        <x14:dataValidation type="decimal" allowBlank="1" showInputMessage="1" showErrorMessage="1" error="Number cannot be negative._x000a_Number cannot be greater than _x000a_99,999,999.99._x000a_Text cannot be entered._x000a_" xr:uid="{7FD8AE18-186B-489C-A2D8-B08549015607}">
          <x14:formula1>
            <xm:f>'Reference module'!B433</xm:f>
          </x14:formula1>
          <x14:formula2>
            <xm:f>'Reference module'!B434</xm:f>
          </x14:formula2>
          <xm:sqref>E27</xm:sqref>
        </x14:dataValidation>
        <x14:dataValidation type="decimal" allowBlank="1" showInputMessage="1" showErrorMessage="1" error="Number must be less than Total loan amount (unless Total loan amount is zero)._x000a_Number cannot be negative._x000a_Number cannot be greater than 99,999,999.99._x000a_Text cannot be entered." xr:uid="{3C7D8FD5-5DBB-4208-A72A-A8C80473F9F1}">
          <x14:formula1>
            <xm:f>'Reference module'!B589</xm:f>
          </x14:formula1>
          <x14:formula2>
            <xm:f>'Reference module'!B590</xm:f>
          </x14:formula2>
          <xm:sqref>E31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0C1F7-5632-4089-A73F-2899E727D823}">
  <sheetPr>
    <tabColor rgb="FF3844CA"/>
  </sheetPr>
  <dimension ref="A1:F41"/>
  <sheetViews>
    <sheetView workbookViewId="0">
      <selection activeCell="D18" sqref="D18:D21"/>
    </sheetView>
  </sheetViews>
  <sheetFormatPr defaultRowHeight="15" x14ac:dyDescent="0.25"/>
  <cols>
    <col min="1" max="1" width="2.5703125" customWidth="1"/>
    <col min="2" max="5" width="20.42578125" customWidth="1"/>
    <col min="6" max="6" width="2.5703125" customWidth="1"/>
  </cols>
  <sheetData>
    <row r="1" spans="1:6" ht="18" x14ac:dyDescent="0.25">
      <c r="A1" s="220" t="s">
        <v>15</v>
      </c>
      <c r="B1" s="211"/>
      <c r="C1" s="211"/>
      <c r="D1" s="211"/>
      <c r="E1" s="211"/>
      <c r="F1" s="211"/>
    </row>
    <row r="2" spans="1:6" ht="18.75" thickBot="1" x14ac:dyDescent="0.3">
      <c r="A2" s="116"/>
      <c r="B2" s="24"/>
      <c r="C2" s="24"/>
      <c r="D2" s="24"/>
      <c r="E2" s="24"/>
      <c r="F2" s="24"/>
    </row>
    <row r="3" spans="1:6" ht="15.75" thickBot="1" x14ac:dyDescent="0.3">
      <c r="A3" s="221" t="s">
        <v>16</v>
      </c>
      <c r="B3" s="218"/>
      <c r="C3" s="207"/>
      <c r="D3" s="207"/>
      <c r="E3" s="207"/>
      <c r="F3" s="212"/>
    </row>
    <row r="4" spans="1:6" x14ac:dyDescent="0.25">
      <c r="A4" s="24"/>
      <c r="B4" s="26" t="s">
        <v>17</v>
      </c>
      <c r="C4" s="43" t="str">
        <f>CONCATENATE("V "&amp;TEXT(MAX('Version control and about'!B18:B25),"0.00")&amp;"")</f>
        <v>V 1.03</v>
      </c>
      <c r="D4" s="30" t="s">
        <v>18</v>
      </c>
      <c r="E4" s="46">
        <f>MAX('Version control and about'!C18:C25)</f>
        <v>46126</v>
      </c>
      <c r="F4" s="24"/>
    </row>
    <row r="5" spans="1:6" x14ac:dyDescent="0.25">
      <c r="A5" s="24"/>
      <c r="B5" s="26" t="s">
        <v>19</v>
      </c>
      <c r="C5" s="9" t="s">
        <v>20</v>
      </c>
      <c r="D5" s="27"/>
      <c r="E5" s="27"/>
      <c r="F5" s="24"/>
    </row>
    <row r="6" spans="1:6" x14ac:dyDescent="0.25">
      <c r="A6" s="24"/>
      <c r="B6" s="27"/>
      <c r="C6" s="9" t="s">
        <v>21</v>
      </c>
      <c r="D6" s="27"/>
      <c r="E6" s="27"/>
      <c r="F6" s="24"/>
    </row>
    <row r="7" spans="1:6" x14ac:dyDescent="0.25">
      <c r="A7" s="24"/>
      <c r="B7" s="26" t="s">
        <v>22</v>
      </c>
      <c r="C7" s="27"/>
      <c r="D7" s="27"/>
      <c r="E7" s="27"/>
      <c r="F7" s="24"/>
    </row>
    <row r="8" spans="1:6" x14ac:dyDescent="0.25">
      <c r="A8" s="24"/>
      <c r="B8" s="27" t="s">
        <v>23</v>
      </c>
      <c r="C8" s="27"/>
      <c r="D8" s="27"/>
      <c r="E8" s="27"/>
      <c r="F8" s="24"/>
    </row>
    <row r="9" spans="1:6" x14ac:dyDescent="0.25">
      <c r="A9" s="24"/>
      <c r="B9" s="29" t="s">
        <v>24</v>
      </c>
      <c r="C9" s="29" t="s">
        <v>25</v>
      </c>
      <c r="D9" s="29" t="s">
        <v>26</v>
      </c>
      <c r="E9" s="29" t="s">
        <v>18</v>
      </c>
      <c r="F9" s="24"/>
    </row>
    <row r="10" spans="1:6" ht="40.5" customHeight="1" x14ac:dyDescent="0.25">
      <c r="A10" s="24"/>
      <c r="B10" s="44" t="s">
        <v>27</v>
      </c>
      <c r="C10" s="10" t="s">
        <v>28</v>
      </c>
      <c r="D10" s="44"/>
      <c r="E10" s="45"/>
      <c r="F10" s="24"/>
    </row>
    <row r="11" spans="1:6" x14ac:dyDescent="0.25">
      <c r="A11" s="24"/>
      <c r="B11" s="28"/>
      <c r="C11" s="28"/>
      <c r="D11" s="28"/>
      <c r="E11" s="28"/>
      <c r="F11" s="24"/>
    </row>
    <row r="12" spans="1:6" x14ac:dyDescent="0.25">
      <c r="A12" s="24"/>
      <c r="B12" s="27" t="s">
        <v>29</v>
      </c>
      <c r="C12" s="27"/>
      <c r="D12" s="27"/>
      <c r="E12" s="27"/>
      <c r="F12" s="24"/>
    </row>
    <row r="13" spans="1:6" x14ac:dyDescent="0.25">
      <c r="A13" s="24"/>
      <c r="B13" s="29" t="s">
        <v>24</v>
      </c>
      <c r="C13" s="29" t="s">
        <v>25</v>
      </c>
      <c r="D13" s="29" t="s">
        <v>26</v>
      </c>
      <c r="E13" s="29" t="s">
        <v>18</v>
      </c>
      <c r="F13" s="24"/>
    </row>
    <row r="14" spans="1:6" ht="27.95" customHeight="1" x14ac:dyDescent="0.25">
      <c r="A14" s="24"/>
      <c r="B14" s="44" t="s">
        <v>20</v>
      </c>
      <c r="C14" s="10" t="s">
        <v>30</v>
      </c>
      <c r="D14" s="44"/>
      <c r="E14" s="45"/>
      <c r="F14" s="24"/>
    </row>
    <row r="15" spans="1:6" x14ac:dyDescent="0.25">
      <c r="A15" s="24"/>
      <c r="B15" s="27"/>
      <c r="C15" s="27"/>
      <c r="D15" s="27"/>
      <c r="E15" s="27"/>
      <c r="F15" s="24"/>
    </row>
    <row r="16" spans="1:6" x14ac:dyDescent="0.25">
      <c r="A16" s="24"/>
      <c r="B16" s="26" t="s">
        <v>31</v>
      </c>
      <c r="C16" s="27"/>
      <c r="D16" s="27"/>
      <c r="E16" s="27"/>
      <c r="F16" s="24"/>
    </row>
    <row r="17" spans="1:6" x14ac:dyDescent="0.25">
      <c r="A17" s="24"/>
      <c r="B17" s="29" t="s">
        <v>32</v>
      </c>
      <c r="C17" s="29" t="s">
        <v>33</v>
      </c>
      <c r="D17" s="29" t="s">
        <v>34</v>
      </c>
      <c r="E17" s="29" t="s">
        <v>35</v>
      </c>
      <c r="F17" s="24"/>
    </row>
    <row r="18" spans="1:6" ht="30" customHeight="1" x14ac:dyDescent="0.25">
      <c r="A18" s="24"/>
      <c r="B18" s="10">
        <v>0.01</v>
      </c>
      <c r="C18" s="11">
        <v>45421</v>
      </c>
      <c r="D18" s="10" t="s">
        <v>21</v>
      </c>
      <c r="E18" s="10" t="s">
        <v>36</v>
      </c>
      <c r="F18" s="24"/>
    </row>
    <row r="19" spans="1:6" ht="38.25" x14ac:dyDescent="0.25">
      <c r="A19" s="24"/>
      <c r="B19" s="42">
        <v>0.02</v>
      </c>
      <c r="C19" s="11">
        <v>45432</v>
      </c>
      <c r="D19" s="10" t="s">
        <v>21</v>
      </c>
      <c r="E19" s="10" t="s">
        <v>37</v>
      </c>
      <c r="F19" s="24"/>
    </row>
    <row r="20" spans="1:6" ht="25.5" x14ac:dyDescent="0.25">
      <c r="A20" s="24"/>
      <c r="B20" s="42">
        <v>1</v>
      </c>
      <c r="C20" s="11">
        <v>45432</v>
      </c>
      <c r="D20" s="10" t="s">
        <v>21</v>
      </c>
      <c r="E20" s="10" t="s">
        <v>38</v>
      </c>
      <c r="F20" s="24"/>
    </row>
    <row r="21" spans="1:6" ht="70.5" customHeight="1" x14ac:dyDescent="0.25">
      <c r="A21" s="24"/>
      <c r="B21" s="42">
        <v>1.01</v>
      </c>
      <c r="C21" s="11"/>
      <c r="D21" s="10" t="s">
        <v>21</v>
      </c>
      <c r="E21" s="10" t="s">
        <v>39</v>
      </c>
      <c r="F21" s="24"/>
    </row>
    <row r="22" spans="1:6" ht="63.75" x14ac:dyDescent="0.25">
      <c r="A22" s="24"/>
      <c r="B22" s="42">
        <v>1.02</v>
      </c>
      <c r="C22" s="11">
        <v>46100</v>
      </c>
      <c r="D22" s="10" t="s">
        <v>40</v>
      </c>
      <c r="E22" s="10" t="s">
        <v>41</v>
      </c>
      <c r="F22" s="24"/>
    </row>
    <row r="23" spans="1:6" ht="38.25" x14ac:dyDescent="0.25">
      <c r="A23" s="24"/>
      <c r="B23" s="42">
        <v>1.03</v>
      </c>
      <c r="C23" s="11">
        <v>46126</v>
      </c>
      <c r="D23" s="10" t="s">
        <v>40</v>
      </c>
      <c r="E23" s="10" t="s">
        <v>42</v>
      </c>
      <c r="F23" s="24"/>
    </row>
    <row r="24" spans="1:6" x14ac:dyDescent="0.25">
      <c r="A24" s="24"/>
      <c r="B24" s="42"/>
      <c r="C24" s="10"/>
      <c r="D24" s="10"/>
      <c r="E24" s="10"/>
      <c r="F24" s="24"/>
    </row>
    <row r="25" spans="1:6" x14ac:dyDescent="0.25">
      <c r="A25" s="24"/>
      <c r="B25" s="42"/>
      <c r="C25" s="11"/>
      <c r="D25" s="10"/>
      <c r="E25" s="10"/>
      <c r="F25" s="24"/>
    </row>
    <row r="26" spans="1:6" ht="15.75" thickBot="1" x14ac:dyDescent="0.3">
      <c r="A26" s="24"/>
      <c r="B26" s="27"/>
      <c r="C26" s="27"/>
      <c r="D26" s="27"/>
      <c r="E26" s="27"/>
      <c r="F26" s="24"/>
    </row>
    <row r="27" spans="1:6" ht="15.75" thickBot="1" x14ac:dyDescent="0.3">
      <c r="A27" s="221" t="s">
        <v>43</v>
      </c>
      <c r="B27" s="219"/>
      <c r="C27" s="208"/>
      <c r="D27" s="208"/>
      <c r="E27" s="208"/>
      <c r="F27" s="212"/>
    </row>
    <row r="28" spans="1:6" x14ac:dyDescent="0.25">
      <c r="A28" s="24"/>
      <c r="B28" s="29" t="s">
        <v>44</v>
      </c>
      <c r="C28" s="29" t="s">
        <v>45</v>
      </c>
      <c r="D28" s="29" t="s">
        <v>46</v>
      </c>
      <c r="E28" s="29" t="s">
        <v>47</v>
      </c>
      <c r="F28" s="24"/>
    </row>
    <row r="29" spans="1:6" ht="36" x14ac:dyDescent="0.25">
      <c r="A29" s="24"/>
      <c r="B29" s="389" t="s">
        <v>48</v>
      </c>
      <c r="C29" s="80" t="s">
        <v>49</v>
      </c>
      <c r="D29" s="12" t="s">
        <v>50</v>
      </c>
      <c r="E29" s="392" t="s">
        <v>51</v>
      </c>
      <c r="F29" s="24"/>
    </row>
    <row r="30" spans="1:6" ht="40.5" customHeight="1" x14ac:dyDescent="0.25">
      <c r="A30" s="24"/>
      <c r="B30" s="390"/>
      <c r="C30" s="213" t="s">
        <v>52</v>
      </c>
      <c r="D30" s="214" t="s">
        <v>53</v>
      </c>
      <c r="E30" s="393"/>
      <c r="F30" s="24"/>
    </row>
    <row r="31" spans="1:6" ht="30" x14ac:dyDescent="0.25">
      <c r="A31" s="24"/>
      <c r="B31" s="390"/>
      <c r="C31" s="215" t="s">
        <v>54</v>
      </c>
      <c r="D31" s="214" t="s">
        <v>55</v>
      </c>
      <c r="E31" s="393"/>
      <c r="F31" s="24"/>
    </row>
    <row r="32" spans="1:6" ht="24" x14ac:dyDescent="0.25">
      <c r="A32" s="24"/>
      <c r="B32" s="391"/>
      <c r="C32" s="81" t="s">
        <v>56</v>
      </c>
      <c r="D32" s="13" t="s">
        <v>57</v>
      </c>
      <c r="E32" s="394"/>
      <c r="F32" s="24"/>
    </row>
    <row r="33" spans="1:6" ht="24.75" x14ac:dyDescent="0.25">
      <c r="A33" s="24"/>
      <c r="B33" s="395" t="s">
        <v>58</v>
      </c>
      <c r="C33" s="77" t="s">
        <v>16</v>
      </c>
      <c r="D33" s="14" t="s">
        <v>59</v>
      </c>
      <c r="E33" s="392" t="s">
        <v>60</v>
      </c>
      <c r="F33" s="24"/>
    </row>
    <row r="34" spans="1:6" ht="36.75" x14ac:dyDescent="0.25">
      <c r="A34" s="24"/>
      <c r="B34" s="396"/>
      <c r="C34" s="78" t="s">
        <v>43</v>
      </c>
      <c r="D34" s="15" t="s">
        <v>61</v>
      </c>
      <c r="E34" s="394"/>
      <c r="F34" s="24"/>
    </row>
    <row r="35" spans="1:6" ht="45" x14ac:dyDescent="0.25">
      <c r="A35" s="24"/>
      <c r="B35" s="76" t="s">
        <v>62</v>
      </c>
      <c r="C35" s="79" t="s">
        <v>63</v>
      </c>
      <c r="D35" s="16" t="s">
        <v>64</v>
      </c>
      <c r="E35" s="17" t="s">
        <v>60</v>
      </c>
      <c r="F35" s="24"/>
    </row>
    <row r="36" spans="1:6" ht="30.95" customHeight="1" x14ac:dyDescent="0.25">
      <c r="A36" s="24"/>
      <c r="B36" s="76" t="s">
        <v>65</v>
      </c>
      <c r="C36" s="79" t="s">
        <v>66</v>
      </c>
      <c r="D36" s="16" t="s">
        <v>67</v>
      </c>
      <c r="E36" s="18" t="s">
        <v>60</v>
      </c>
      <c r="F36" s="24"/>
    </row>
    <row r="37" spans="1:6" ht="15.75" thickBot="1" x14ac:dyDescent="0.3">
      <c r="A37" s="24"/>
      <c r="B37" s="216"/>
      <c r="C37" s="216"/>
      <c r="D37" s="216"/>
      <c r="E37" s="216"/>
      <c r="F37" s="24"/>
    </row>
    <row r="38" spans="1:6" ht="15.75" thickBot="1" x14ac:dyDescent="0.3">
      <c r="A38" s="221" t="s">
        <v>68</v>
      </c>
      <c r="B38" s="219"/>
      <c r="C38" s="208"/>
      <c r="D38" s="208"/>
      <c r="E38" s="208"/>
      <c r="F38" s="212"/>
    </row>
    <row r="39" spans="1:6" x14ac:dyDescent="0.25">
      <c r="A39" s="24"/>
      <c r="B39" s="209" t="s">
        <v>69</v>
      </c>
      <c r="C39" s="2"/>
      <c r="D39" s="2"/>
      <c r="E39" s="210"/>
      <c r="F39" s="24"/>
    </row>
    <row r="40" spans="1:6" ht="15.75" thickBot="1" x14ac:dyDescent="0.3">
      <c r="A40" s="24"/>
      <c r="B40" s="75" t="s">
        <v>70</v>
      </c>
      <c r="C40" s="31"/>
      <c r="D40" s="31"/>
      <c r="E40" s="32"/>
      <c r="F40" s="24"/>
    </row>
    <row r="41" spans="1:6" ht="15.75" thickBot="1" x14ac:dyDescent="0.3">
      <c r="A41" s="217"/>
      <c r="B41" s="217"/>
      <c r="C41" s="217"/>
      <c r="D41" s="217"/>
      <c r="E41" s="217"/>
      <c r="F41" s="217"/>
    </row>
  </sheetData>
  <sheetProtection algorithmName="SHA-256" hashValue="CSSIcnJkFmMi1JSg3RE/8Pe2mxpTl4BPnS/CRxsq/qk=" saltValue="KQy2vUY9Xt0Jq6gMaP+knw==" spinCount="100000" sheet="1" objects="1" scenarios="1"/>
  <mergeCells count="4">
    <mergeCell ref="B29:B32"/>
    <mergeCell ref="E29:E32"/>
    <mergeCell ref="B33:B34"/>
    <mergeCell ref="E33:E34"/>
  </mergeCells>
  <hyperlinks>
    <hyperlink ref="B35" location="' Reference module'!A1" display="Reference module" xr:uid="{714ED4CF-F388-4209-80DF-086F8552385D}"/>
    <hyperlink ref="B36" location="'Test module'!A1" display="Testing module" xr:uid="{FA7E2010-095B-411D-9645-47603DEA16FC}"/>
    <hyperlink ref="C29" location="'Borrowing expenses'!A4" display="Introduction" xr:uid="{09FC1A50-E7B0-4E38-851F-4E95D10641BF}"/>
    <hyperlink ref="C30" location="'Borrowing expenses'!A20" display="Enter your information" xr:uid="{7CA4AC1E-2F28-4BFA-8FD1-DA8329B569EB}"/>
    <hyperlink ref="C32" location="'Borrowing expenses'!A46" display="Result" xr:uid="{01A86442-F80B-46CD-8BD3-1DB2850EAEE0}"/>
    <hyperlink ref="C33" location="'Version Control and About'!A3" display="Version control" xr:uid="{502D6497-D45C-4C87-B160-722B135622C1}"/>
    <hyperlink ref="C34" location="'Version control and About'!A27" display="About this workbook" xr:uid="{1C89409E-4DDE-4A0F-B86C-A19A97B89C74}"/>
    <hyperlink ref="B33:B34" location="'Version Control and About'!A1" display="Version Control and About" xr:uid="{5A1ABAE4-A03E-4055-A2B5-68320729A2F9}"/>
    <hyperlink ref="C31" location="'Borrowing expenses'!A44" display="Information entry guidance" xr:uid="{2F9A3A63-A8E6-4E75-9955-580BECD0A215}"/>
    <hyperlink ref="B29:B32" location="'Borrowing expenses'!A1" display="Deductible borrowing expenses calculator" xr:uid="{6C463918-1475-4F73-9942-4F1E9F0ED791}"/>
    <hyperlink ref="B39" r:id="rId1" xr:uid="{A57DF129-5D41-4321-B2B2-62A83002E0FE}"/>
    <hyperlink ref="B40" r:id="rId2" xr:uid="{A49F5C71-E3D5-44FA-9FB8-B71FD02CC239}"/>
  </hyperlinks>
  <pageMargins left="0.7" right="0.7" top="0.75" bottom="0.75" header="0.3" footer="0.3"/>
  <pageSetup paperSize="9" orientation="portrait" horizontalDpi="300" verticalDpi="3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CBEE4-EC5E-45B7-A49F-350AFB380E56}">
  <sheetPr>
    <tabColor rgb="FF3844CA"/>
    <pageSetUpPr fitToPage="1"/>
  </sheetPr>
  <dimension ref="A1:U1306"/>
  <sheetViews>
    <sheetView topLeftCell="A1131" zoomScale="80" zoomScaleNormal="80" workbookViewId="0">
      <selection activeCell="B1176" sqref="B1176"/>
    </sheetView>
  </sheetViews>
  <sheetFormatPr defaultColWidth="9.140625" defaultRowHeight="14.25" x14ac:dyDescent="0.2"/>
  <cols>
    <col min="1" max="1" width="26.85546875" style="2" customWidth="1"/>
    <col min="2" max="2" width="17.5703125" style="2" customWidth="1"/>
    <col min="3" max="3" width="17" style="2" customWidth="1"/>
    <col min="4" max="5" width="16.85546875" style="2" customWidth="1"/>
    <col min="6" max="6" width="14.28515625" style="2" customWidth="1"/>
    <col min="7" max="7" width="27.7109375" style="2" customWidth="1"/>
    <col min="8" max="8" width="23.5703125" style="2" customWidth="1"/>
    <col min="9" max="9" width="16" style="23" customWidth="1"/>
    <col min="10" max="10" width="12.42578125" style="2" customWidth="1"/>
    <col min="11" max="11" width="18.7109375" style="2" customWidth="1"/>
    <col min="12" max="12" width="18" style="8" customWidth="1"/>
    <col min="13" max="13" width="16" style="2" customWidth="1"/>
    <col min="14" max="14" width="22.28515625" style="2" customWidth="1"/>
    <col min="15" max="17" width="12" style="2" customWidth="1"/>
    <col min="18" max="18" width="13.140625" style="2" customWidth="1"/>
    <col min="19" max="16384" width="9.140625" style="2"/>
  </cols>
  <sheetData>
    <row r="1" spans="1:21" s="225" customFormat="1" ht="18.75" thickBot="1" x14ac:dyDescent="0.3">
      <c r="A1" s="220" t="s">
        <v>71</v>
      </c>
      <c r="B1" s="235"/>
      <c r="C1" s="227"/>
      <c r="D1" s="227"/>
      <c r="E1" s="227"/>
      <c r="F1" s="227"/>
      <c r="G1" s="227"/>
      <c r="H1" s="227"/>
      <c r="I1" s="222"/>
      <c r="J1" s="223"/>
      <c r="K1" s="296" t="s">
        <v>72</v>
      </c>
      <c r="L1" s="297" t="s">
        <v>73</v>
      </c>
      <c r="M1" s="224"/>
      <c r="N1" s="298" t="s">
        <v>74</v>
      </c>
      <c r="O1" s="299"/>
      <c r="P1" s="299"/>
      <c r="Q1" s="299"/>
      <c r="R1" s="299"/>
      <c r="S1" s="299"/>
      <c r="T1" s="299"/>
      <c r="U1" s="300"/>
    </row>
    <row r="2" spans="1:21" customFormat="1" ht="18.75" thickBot="1" x14ac:dyDescent="0.3">
      <c r="A2" s="116"/>
      <c r="B2" s="236"/>
      <c r="C2" s="24"/>
      <c r="D2" s="24"/>
      <c r="E2" s="24"/>
      <c r="F2" s="24"/>
      <c r="G2" s="24"/>
      <c r="H2" s="24"/>
      <c r="I2" s="35"/>
      <c r="J2" s="2"/>
      <c r="K2" s="40"/>
      <c r="L2" s="40"/>
      <c r="M2" s="1"/>
      <c r="N2" s="301" t="s">
        <v>75</v>
      </c>
      <c r="O2" s="286" t="s">
        <v>76</v>
      </c>
      <c r="P2" s="286" t="s">
        <v>77</v>
      </c>
      <c r="Q2" s="286" t="s">
        <v>78</v>
      </c>
      <c r="R2" s="286" t="s">
        <v>79</v>
      </c>
      <c r="S2" s="286" t="s">
        <v>80</v>
      </c>
      <c r="T2" s="286" t="s">
        <v>81</v>
      </c>
      <c r="U2" s="287" t="s">
        <v>82</v>
      </c>
    </row>
    <row r="3" spans="1:21" customFormat="1" ht="15.75" thickBot="1" x14ac:dyDescent="0.3">
      <c r="A3" s="275" t="s">
        <v>83</v>
      </c>
      <c r="B3" s="401" t="s">
        <v>84</v>
      </c>
      <c r="C3" s="402"/>
      <c r="D3" s="402"/>
      <c r="E3" s="402"/>
      <c r="F3" s="402"/>
      <c r="G3" s="402"/>
      <c r="H3" s="402"/>
      <c r="I3" s="35"/>
      <c r="J3" s="2"/>
      <c r="K3" s="308" t="s">
        <v>85</v>
      </c>
      <c r="L3" s="40"/>
      <c r="M3" s="1"/>
      <c r="N3" s="288" t="s">
        <v>86</v>
      </c>
      <c r="O3" s="33" t="s">
        <v>85</v>
      </c>
      <c r="P3" s="33" t="s">
        <v>85</v>
      </c>
      <c r="Q3" s="33" t="s">
        <v>85</v>
      </c>
      <c r="R3" s="25">
        <v>45</v>
      </c>
      <c r="S3" s="33" t="s">
        <v>85</v>
      </c>
      <c r="T3" s="33" t="s">
        <v>85</v>
      </c>
      <c r="U3" s="289" t="s">
        <v>85</v>
      </c>
    </row>
    <row r="4" spans="1:21" customFormat="1" ht="15" x14ac:dyDescent="0.25">
      <c r="A4" s="229" t="s">
        <v>87</v>
      </c>
      <c r="B4" s="236" t="s">
        <v>88</v>
      </c>
      <c r="C4" s="24"/>
      <c r="D4" s="24"/>
      <c r="E4" s="24"/>
      <c r="F4" s="24"/>
      <c r="G4" s="24"/>
      <c r="H4" s="24"/>
      <c r="I4" s="35"/>
      <c r="J4" s="2"/>
      <c r="K4" s="308" t="s">
        <v>85</v>
      </c>
      <c r="L4" s="40"/>
      <c r="M4" s="1"/>
      <c r="N4" s="288" t="s">
        <v>89</v>
      </c>
      <c r="O4" s="33" t="s">
        <v>90</v>
      </c>
      <c r="P4" s="33" t="s">
        <v>91</v>
      </c>
      <c r="Q4" s="33">
        <v>11</v>
      </c>
      <c r="R4" s="25" t="s">
        <v>91</v>
      </c>
      <c r="S4" s="33" t="s">
        <v>92</v>
      </c>
      <c r="T4" s="33" t="s">
        <v>93</v>
      </c>
      <c r="U4" s="289" t="s">
        <v>94</v>
      </c>
    </row>
    <row r="5" spans="1:21" customFormat="1" ht="29.25" x14ac:dyDescent="0.25">
      <c r="A5" s="276"/>
      <c r="B5" s="237" t="str">
        <f>CONCATENATE($O$2&amp;": "&amp;VLOOKUP($B4,$N$3:$U$27,2,0))</f>
        <v>Font: Arial</v>
      </c>
      <c r="C5" s="19" t="str">
        <f>CONCATENATE($P$2&amp;": "&amp;VLOOKUP($B4,$N$3:$U$27,3,0))</f>
        <v>T-face: Normal</v>
      </c>
      <c r="D5" s="19" t="str">
        <f>CONCATENATE($Q$2&amp;": "&amp;VLOOKUP($B4,$N$3:$U$27,4,0))</f>
        <v>Font size: 11</v>
      </c>
      <c r="E5" s="19" t="str">
        <f>CONCATENATE($R$2&amp;": "&amp;VLOOKUP($B4,$N$3:$U$27,5,0))</f>
        <v>Row height: 15</v>
      </c>
      <c r="F5" s="19" t="str">
        <f>CONCATENATE($S$2&amp;": "&amp;VLOOKUP($B4,$N$3:$U$27,6,0))</f>
        <v>Text col: White</v>
      </c>
      <c r="G5" s="19" t="str">
        <f>CONCATENATE($T$2&amp;": "&amp;VLOOKUP($B4,$N$3:$U$27,7,0))</f>
        <v>BG col: White</v>
      </c>
      <c r="H5" s="19" t="str">
        <f>CONCATENATE($U$2&amp;": "&amp;VLOOKUP($B4,$N$3:$U$27,8,0))</f>
        <v>Just: Left</v>
      </c>
      <c r="I5" s="35"/>
      <c r="J5" s="2"/>
      <c r="K5" s="308" t="s">
        <v>85</v>
      </c>
      <c r="L5" s="40"/>
      <c r="M5" s="1"/>
      <c r="N5" s="290" t="s">
        <v>95</v>
      </c>
      <c r="O5" s="25" t="s">
        <v>90</v>
      </c>
      <c r="P5" s="25" t="s">
        <v>96</v>
      </c>
      <c r="Q5" s="25">
        <v>11</v>
      </c>
      <c r="R5" s="25" t="s">
        <v>91</v>
      </c>
      <c r="S5" s="25" t="s">
        <v>92</v>
      </c>
      <c r="T5" s="25" t="s">
        <v>97</v>
      </c>
      <c r="U5" s="291" t="s">
        <v>98</v>
      </c>
    </row>
    <row r="6" spans="1:21" customFormat="1" ht="15" x14ac:dyDescent="0.25">
      <c r="A6" s="229" t="s">
        <v>99</v>
      </c>
      <c r="B6" s="236" t="s">
        <v>100</v>
      </c>
      <c r="C6" s="24"/>
      <c r="D6" s="24"/>
      <c r="E6" s="24"/>
      <c r="F6" s="24"/>
      <c r="G6" s="24"/>
      <c r="H6" s="24"/>
      <c r="I6" s="35"/>
      <c r="J6" s="2"/>
      <c r="K6" s="308" t="s">
        <v>85</v>
      </c>
      <c r="L6" s="40"/>
      <c r="M6" s="1"/>
      <c r="N6" s="290" t="s">
        <v>18</v>
      </c>
      <c r="O6" s="25" t="s">
        <v>101</v>
      </c>
      <c r="P6" s="25" t="s">
        <v>96</v>
      </c>
      <c r="Q6" s="25">
        <v>11</v>
      </c>
      <c r="R6" s="25">
        <v>15</v>
      </c>
      <c r="S6" s="25" t="s">
        <v>93</v>
      </c>
      <c r="T6" s="25" t="s">
        <v>93</v>
      </c>
      <c r="U6" s="291" t="s">
        <v>94</v>
      </c>
    </row>
    <row r="7" spans="1:21" customFormat="1" ht="15" x14ac:dyDescent="0.25">
      <c r="A7" s="229" t="s">
        <v>102</v>
      </c>
      <c r="B7" s="236"/>
      <c r="C7" s="24"/>
      <c r="D7" s="24"/>
      <c r="E7" s="24"/>
      <c r="F7" s="24"/>
      <c r="G7" s="24"/>
      <c r="H7" s="24"/>
      <c r="I7" s="35"/>
      <c r="J7" s="2"/>
      <c r="K7" s="308" t="s">
        <v>85</v>
      </c>
      <c r="L7" s="40"/>
      <c r="M7" s="1"/>
      <c r="N7" s="290" t="s">
        <v>103</v>
      </c>
      <c r="O7" s="25" t="s">
        <v>90</v>
      </c>
      <c r="P7" s="25" t="s">
        <v>96</v>
      </c>
      <c r="Q7" s="25">
        <v>11</v>
      </c>
      <c r="R7" s="25" t="s">
        <v>91</v>
      </c>
      <c r="S7" s="25" t="s">
        <v>92</v>
      </c>
      <c r="T7" s="25" t="s">
        <v>93</v>
      </c>
      <c r="U7" s="291" t="s">
        <v>94</v>
      </c>
    </row>
    <row r="8" spans="1:21" customFormat="1" ht="29.25" x14ac:dyDescent="0.25">
      <c r="A8" s="277" t="s">
        <v>104</v>
      </c>
      <c r="B8" s="236" t="s">
        <v>105</v>
      </c>
      <c r="C8" s="24"/>
      <c r="D8" s="24"/>
      <c r="E8" s="24"/>
      <c r="F8" s="24"/>
      <c r="G8" s="24"/>
      <c r="H8" s="24"/>
      <c r="I8" s="35"/>
      <c r="J8" s="2"/>
      <c r="K8" s="308" t="s">
        <v>85</v>
      </c>
      <c r="L8" s="40"/>
      <c r="M8" s="1"/>
      <c r="N8" s="292" t="s">
        <v>88</v>
      </c>
      <c r="O8" s="25" t="s">
        <v>90</v>
      </c>
      <c r="P8" s="25" t="s">
        <v>96</v>
      </c>
      <c r="Q8" s="25">
        <v>11</v>
      </c>
      <c r="R8" s="25">
        <v>15</v>
      </c>
      <c r="S8" s="25" t="s">
        <v>93</v>
      </c>
      <c r="T8" s="25" t="s">
        <v>93</v>
      </c>
      <c r="U8" s="291" t="s">
        <v>94</v>
      </c>
    </row>
    <row r="9" spans="1:21" customFormat="1" ht="15" x14ac:dyDescent="0.25">
      <c r="A9" s="277" t="s">
        <v>87</v>
      </c>
      <c r="B9" s="403" t="s">
        <v>106</v>
      </c>
      <c r="C9" s="404"/>
      <c r="D9" s="404"/>
      <c r="E9" s="404"/>
      <c r="F9" s="404"/>
      <c r="G9" s="404"/>
      <c r="H9" s="150"/>
      <c r="I9" s="35"/>
      <c r="J9" s="2"/>
      <c r="K9" s="308" t="s">
        <v>85</v>
      </c>
      <c r="L9" s="40"/>
      <c r="M9" s="1"/>
      <c r="N9" s="292" t="s">
        <v>107</v>
      </c>
      <c r="O9" s="25" t="s">
        <v>90</v>
      </c>
      <c r="P9" s="25" t="s">
        <v>108</v>
      </c>
      <c r="Q9" s="25">
        <v>11</v>
      </c>
      <c r="R9" s="25">
        <v>15</v>
      </c>
      <c r="S9" s="25" t="s">
        <v>109</v>
      </c>
      <c r="T9" s="25" t="s">
        <v>93</v>
      </c>
      <c r="U9" s="291" t="s">
        <v>94</v>
      </c>
    </row>
    <row r="10" spans="1:21" customFormat="1" ht="15" x14ac:dyDescent="0.25">
      <c r="A10" s="277" t="s">
        <v>110</v>
      </c>
      <c r="B10" s="236" t="s">
        <v>85</v>
      </c>
      <c r="C10" s="24"/>
      <c r="D10" s="24"/>
      <c r="E10" s="24"/>
      <c r="F10" s="24"/>
      <c r="G10" s="24"/>
      <c r="H10" s="24"/>
      <c r="I10" s="35"/>
      <c r="J10" s="2"/>
      <c r="K10" s="308" t="s">
        <v>85</v>
      </c>
      <c r="L10" s="40"/>
      <c r="M10" s="1"/>
      <c r="N10" s="292" t="s">
        <v>111</v>
      </c>
      <c r="O10" s="25" t="s">
        <v>90</v>
      </c>
      <c r="P10" s="25" t="s">
        <v>96</v>
      </c>
      <c r="Q10" s="25">
        <v>11</v>
      </c>
      <c r="R10" s="25">
        <v>25</v>
      </c>
      <c r="S10" s="25" t="s">
        <v>92</v>
      </c>
      <c r="T10" s="25" t="s">
        <v>93</v>
      </c>
      <c r="U10" s="291" t="s">
        <v>94</v>
      </c>
    </row>
    <row r="11" spans="1:21" customFormat="1" ht="29.25" x14ac:dyDescent="0.25">
      <c r="A11" s="277" t="s">
        <v>112</v>
      </c>
      <c r="B11" s="236" t="s">
        <v>85</v>
      </c>
      <c r="C11" s="24"/>
      <c r="D11" s="24"/>
      <c r="E11" s="24"/>
      <c r="F11" s="24"/>
      <c r="G11" s="24"/>
      <c r="H11" s="231"/>
      <c r="I11" s="35"/>
      <c r="J11" s="2"/>
      <c r="K11" s="308" t="s">
        <v>85</v>
      </c>
      <c r="L11" s="40"/>
      <c r="M11" s="1"/>
      <c r="N11" s="290" t="s">
        <v>113</v>
      </c>
      <c r="O11" s="25" t="s">
        <v>90</v>
      </c>
      <c r="P11" s="25" t="s">
        <v>114</v>
      </c>
      <c r="Q11" s="25">
        <v>11</v>
      </c>
      <c r="R11" s="25">
        <v>38</v>
      </c>
      <c r="S11" s="25" t="s">
        <v>92</v>
      </c>
      <c r="T11" s="25" t="s">
        <v>93</v>
      </c>
      <c r="U11" s="291" t="s">
        <v>94</v>
      </c>
    </row>
    <row r="12" spans="1:21" customFormat="1" ht="29.25" x14ac:dyDescent="0.25">
      <c r="A12" s="277" t="s">
        <v>115</v>
      </c>
      <c r="B12" s="236" t="s">
        <v>85</v>
      </c>
      <c r="C12" s="24"/>
      <c r="D12" s="24"/>
      <c r="E12" s="24"/>
      <c r="F12" s="24"/>
      <c r="G12" s="24"/>
      <c r="H12" s="231"/>
      <c r="I12" s="35"/>
      <c r="J12" s="2"/>
      <c r="K12" s="308" t="s">
        <v>85</v>
      </c>
      <c r="L12" s="40"/>
      <c r="M12" s="1"/>
      <c r="N12" s="290" t="s">
        <v>116</v>
      </c>
      <c r="O12" s="25" t="s">
        <v>90</v>
      </c>
      <c r="P12" s="25" t="s">
        <v>114</v>
      </c>
      <c r="Q12" s="25">
        <v>11</v>
      </c>
      <c r="R12" s="25">
        <v>25</v>
      </c>
      <c r="S12" s="25" t="s">
        <v>92</v>
      </c>
      <c r="T12" s="25" t="s">
        <v>93</v>
      </c>
      <c r="U12" s="291" t="s">
        <v>94</v>
      </c>
    </row>
    <row r="13" spans="1:21" customFormat="1" ht="15" x14ac:dyDescent="0.25">
      <c r="A13" s="277" t="s">
        <v>117</v>
      </c>
      <c r="B13" s="236" t="s">
        <v>85</v>
      </c>
      <c r="C13" s="24"/>
      <c r="D13" s="24"/>
      <c r="E13" s="24"/>
      <c r="F13" s="24"/>
      <c r="G13" s="24"/>
      <c r="H13" s="231"/>
      <c r="I13" s="35"/>
      <c r="J13" s="2"/>
      <c r="K13" s="308" t="s">
        <v>85</v>
      </c>
      <c r="L13" s="40"/>
      <c r="M13" s="1"/>
      <c r="N13" s="292" t="s">
        <v>118</v>
      </c>
      <c r="O13" s="25" t="s">
        <v>90</v>
      </c>
      <c r="P13" s="25" t="s">
        <v>96</v>
      </c>
      <c r="Q13" s="25">
        <v>11</v>
      </c>
      <c r="R13" s="25">
        <v>15</v>
      </c>
      <c r="S13" s="25" t="s">
        <v>92</v>
      </c>
      <c r="T13" s="25" t="s">
        <v>93</v>
      </c>
      <c r="U13" s="291" t="s">
        <v>94</v>
      </c>
    </row>
    <row r="14" spans="1:21" customFormat="1" ht="30" x14ac:dyDescent="0.25">
      <c r="A14" s="278" t="s">
        <v>119</v>
      </c>
      <c r="B14" s="236" t="str">
        <f>IF(B4=$N$5,"Yes","No")</f>
        <v>No</v>
      </c>
      <c r="C14" s="24"/>
      <c r="D14" s="24"/>
      <c r="E14" s="24"/>
      <c r="F14" s="24"/>
      <c r="G14" s="24"/>
      <c r="H14" s="231"/>
      <c r="I14" s="35"/>
      <c r="J14" s="2"/>
      <c r="K14" s="308" t="s">
        <v>85</v>
      </c>
      <c r="L14" s="40"/>
      <c r="M14" s="1"/>
      <c r="N14" s="290" t="s">
        <v>120</v>
      </c>
      <c r="O14" s="25" t="s">
        <v>90</v>
      </c>
      <c r="P14" s="25" t="s">
        <v>96</v>
      </c>
      <c r="Q14" s="25">
        <v>11</v>
      </c>
      <c r="R14" s="25">
        <v>31.5</v>
      </c>
      <c r="S14" s="25" t="s">
        <v>92</v>
      </c>
      <c r="T14" s="25" t="s">
        <v>93</v>
      </c>
      <c r="U14" s="291" t="s">
        <v>94</v>
      </c>
    </row>
    <row r="15" spans="1:21" ht="15" x14ac:dyDescent="0.25">
      <c r="A15" s="229" t="s">
        <v>121</v>
      </c>
      <c r="B15" s="403" t="s">
        <v>122</v>
      </c>
      <c r="C15" s="404"/>
      <c r="D15" s="404"/>
      <c r="E15" s="404"/>
      <c r="F15" s="404"/>
      <c r="G15" s="404"/>
      <c r="H15" s="24"/>
      <c r="K15" s="308" t="s">
        <v>85</v>
      </c>
      <c r="L15" s="40"/>
      <c r="M15" s="1"/>
      <c r="N15" s="290" t="s">
        <v>123</v>
      </c>
      <c r="O15" s="25" t="s">
        <v>90</v>
      </c>
      <c r="P15" s="25" t="s">
        <v>96</v>
      </c>
      <c r="Q15" s="25">
        <v>11</v>
      </c>
      <c r="R15" s="25">
        <v>49.5</v>
      </c>
      <c r="S15" s="25" t="s">
        <v>92</v>
      </c>
      <c r="T15" s="25" t="s">
        <v>93</v>
      </c>
      <c r="U15" s="291" t="s">
        <v>94</v>
      </c>
    </row>
    <row r="16" spans="1:21" ht="29.25" thickBot="1" x14ac:dyDescent="0.25">
      <c r="A16" s="24"/>
      <c r="B16" s="236"/>
      <c r="C16" s="24"/>
      <c r="D16" s="24"/>
      <c r="E16" s="24"/>
      <c r="F16" s="24"/>
      <c r="G16" s="24"/>
      <c r="H16" s="24"/>
      <c r="K16" s="308" t="s">
        <v>85</v>
      </c>
      <c r="L16" s="40"/>
      <c r="M16" s="1"/>
      <c r="N16" s="290" t="s">
        <v>124</v>
      </c>
      <c r="O16" s="25" t="s">
        <v>90</v>
      </c>
      <c r="P16" s="25" t="s">
        <v>96</v>
      </c>
      <c r="Q16" s="25">
        <v>11</v>
      </c>
      <c r="R16" s="25">
        <v>26.5</v>
      </c>
      <c r="S16" s="25" t="s">
        <v>92</v>
      </c>
      <c r="T16" s="25" t="s">
        <v>93</v>
      </c>
      <c r="U16" s="291" t="s">
        <v>94</v>
      </c>
    </row>
    <row r="17" spans="1:21" customFormat="1" ht="30" thickBot="1" x14ac:dyDescent="0.3">
      <c r="A17" s="275" t="s">
        <v>125</v>
      </c>
      <c r="B17" s="401" t="s">
        <v>86</v>
      </c>
      <c r="C17" s="402"/>
      <c r="D17" s="402"/>
      <c r="E17" s="402"/>
      <c r="F17" s="402"/>
      <c r="G17" s="402"/>
      <c r="H17" s="402"/>
      <c r="I17" s="35"/>
      <c r="J17" s="2"/>
      <c r="K17" s="308" t="s">
        <v>85</v>
      </c>
      <c r="L17" s="40"/>
      <c r="M17" s="1"/>
      <c r="N17" s="290" t="s">
        <v>126</v>
      </c>
      <c r="O17" s="25" t="s">
        <v>90</v>
      </c>
      <c r="P17" s="25" t="s">
        <v>96</v>
      </c>
      <c r="Q17" s="25">
        <v>11</v>
      </c>
      <c r="R17" s="25">
        <v>40.5</v>
      </c>
      <c r="S17" s="25" t="s">
        <v>92</v>
      </c>
      <c r="T17" s="25" t="s">
        <v>93</v>
      </c>
      <c r="U17" s="291" t="s">
        <v>94</v>
      </c>
    </row>
    <row r="18" spans="1:21" customFormat="1" ht="29.25" x14ac:dyDescent="0.25">
      <c r="A18" s="229" t="s">
        <v>87</v>
      </c>
      <c r="B18" s="236" t="s">
        <v>86</v>
      </c>
      <c r="C18" s="24"/>
      <c r="D18" s="24"/>
      <c r="E18" s="24"/>
      <c r="F18" s="24"/>
      <c r="G18" s="24"/>
      <c r="H18" s="231"/>
      <c r="I18" s="35"/>
      <c r="J18" s="2"/>
      <c r="K18" s="308" t="s">
        <v>85</v>
      </c>
      <c r="L18" s="40"/>
      <c r="M18" s="1"/>
      <c r="N18" s="290" t="s">
        <v>127</v>
      </c>
      <c r="O18" s="25" t="s">
        <v>90</v>
      </c>
      <c r="P18" s="25" t="s">
        <v>96</v>
      </c>
      <c r="Q18" s="25">
        <v>11</v>
      </c>
      <c r="R18" s="25">
        <v>53.25</v>
      </c>
      <c r="S18" s="25" t="s">
        <v>92</v>
      </c>
      <c r="T18" s="25" t="s">
        <v>93</v>
      </c>
      <c r="U18" s="291" t="s">
        <v>94</v>
      </c>
    </row>
    <row r="19" spans="1:21" s="20" customFormat="1" ht="29.25" x14ac:dyDescent="0.25">
      <c r="A19" s="276"/>
      <c r="B19" s="237" t="str">
        <f>CONCATENATE($O$2&amp;": "&amp;VLOOKUP($B18,$N$3:$U$27,2,0))</f>
        <v>Font: N/A</v>
      </c>
      <c r="C19" s="19" t="str">
        <f>CONCATENATE($P$2&amp;": "&amp;VLOOKUP($B18,$N$3:$U$27,3,0))</f>
        <v>T-face: N/A</v>
      </c>
      <c r="D19" s="19" t="str">
        <f>CONCATENATE($Q$2&amp;": "&amp;VLOOKUP($B18,$N$3:$U$27,4,0))</f>
        <v>Font size: N/A</v>
      </c>
      <c r="E19" s="19" t="str">
        <f>CONCATENATE($R$2&amp;": "&amp;VLOOKUP($B18,$N$3:$U$27,5,0))</f>
        <v>Row height: 45</v>
      </c>
      <c r="F19" s="19" t="str">
        <f>CONCATENATE($S$2&amp;": "&amp;VLOOKUP($B18,$N$3:$U$27,6,0))</f>
        <v>Text col: N/A</v>
      </c>
      <c r="G19" s="19" t="str">
        <f>CONCATENATE($T$2&amp;": "&amp;VLOOKUP($B18,$N$3:$U$27,7,0))</f>
        <v>BG col: N/A</v>
      </c>
      <c r="H19" s="19" t="str">
        <f>CONCATENATE($U$2&amp;": "&amp;VLOOKUP($B18,$N$3:$U$27,8,0))</f>
        <v>Just: N/A</v>
      </c>
      <c r="I19" s="36"/>
      <c r="K19" s="308" t="s">
        <v>85</v>
      </c>
      <c r="L19" s="40"/>
      <c r="M19" s="1"/>
      <c r="N19" s="290" t="s">
        <v>128</v>
      </c>
      <c r="O19" s="25" t="s">
        <v>90</v>
      </c>
      <c r="P19" s="25" t="s">
        <v>96</v>
      </c>
      <c r="Q19" s="25">
        <v>11</v>
      </c>
      <c r="R19" s="25">
        <v>66</v>
      </c>
      <c r="S19" s="25" t="s">
        <v>92</v>
      </c>
      <c r="T19" s="25" t="s">
        <v>93</v>
      </c>
      <c r="U19" s="291" t="s">
        <v>94</v>
      </c>
    </row>
    <row r="20" spans="1:21" customFormat="1" ht="29.25" x14ac:dyDescent="0.25">
      <c r="A20" s="229" t="s">
        <v>99</v>
      </c>
      <c r="B20" s="236" t="s">
        <v>129</v>
      </c>
      <c r="C20" s="24"/>
      <c r="D20" s="24"/>
      <c r="E20" s="24"/>
      <c r="F20" s="24"/>
      <c r="G20" s="24"/>
      <c r="H20" s="231"/>
      <c r="I20" s="35"/>
      <c r="J20" s="2"/>
      <c r="K20" s="308" t="s">
        <v>85</v>
      </c>
      <c r="L20" s="40"/>
      <c r="M20" s="1"/>
      <c r="N20" s="290" t="s">
        <v>130</v>
      </c>
      <c r="O20" s="25" t="s">
        <v>90</v>
      </c>
      <c r="P20" s="25" t="s">
        <v>96</v>
      </c>
      <c r="Q20" s="25">
        <v>11</v>
      </c>
      <c r="R20" s="25" t="s">
        <v>91</v>
      </c>
      <c r="S20" s="25" t="s">
        <v>92</v>
      </c>
      <c r="T20" s="25" t="s">
        <v>93</v>
      </c>
      <c r="U20" s="291" t="s">
        <v>94</v>
      </c>
    </row>
    <row r="21" spans="1:21" customFormat="1" ht="15" x14ac:dyDescent="0.25">
      <c r="A21" s="229" t="s">
        <v>102</v>
      </c>
      <c r="B21" s="236"/>
      <c r="C21" s="24"/>
      <c r="D21" s="24"/>
      <c r="E21" s="24"/>
      <c r="F21" s="24"/>
      <c r="G21" s="24"/>
      <c r="H21" s="231"/>
      <c r="I21" s="35"/>
      <c r="J21" s="2"/>
      <c r="K21" s="308" t="s">
        <v>85</v>
      </c>
      <c r="L21" s="40"/>
      <c r="M21" s="1"/>
      <c r="N21" s="292" t="s">
        <v>131</v>
      </c>
      <c r="O21" s="25" t="s">
        <v>90</v>
      </c>
      <c r="P21" s="25" t="s">
        <v>114</v>
      </c>
      <c r="Q21" s="25">
        <v>16</v>
      </c>
      <c r="R21" s="25">
        <v>40</v>
      </c>
      <c r="S21" s="25" t="s">
        <v>109</v>
      </c>
      <c r="T21" s="25" t="s">
        <v>93</v>
      </c>
      <c r="U21" s="291" t="s">
        <v>94</v>
      </c>
    </row>
    <row r="22" spans="1:21" customFormat="1" ht="29.25" x14ac:dyDescent="0.25">
      <c r="A22" s="277" t="s">
        <v>104</v>
      </c>
      <c r="B22" s="236" t="s">
        <v>132</v>
      </c>
      <c r="C22" s="24"/>
      <c r="D22" s="24"/>
      <c r="E22" s="24"/>
      <c r="F22" s="24"/>
      <c r="G22" s="24"/>
      <c r="H22" s="231"/>
      <c r="I22" s="35"/>
      <c r="K22" s="308" t="s">
        <v>85</v>
      </c>
      <c r="L22" s="40"/>
      <c r="M22" s="1"/>
      <c r="N22" s="292" t="s">
        <v>133</v>
      </c>
      <c r="O22" s="25" t="s">
        <v>90</v>
      </c>
      <c r="P22" s="25" t="s">
        <v>114</v>
      </c>
      <c r="Q22" s="25">
        <v>14</v>
      </c>
      <c r="R22" s="25">
        <v>40.5</v>
      </c>
      <c r="S22" s="25" t="s">
        <v>109</v>
      </c>
      <c r="T22" s="25" t="s">
        <v>93</v>
      </c>
      <c r="U22" s="291" t="s">
        <v>94</v>
      </c>
    </row>
    <row r="23" spans="1:21" customFormat="1" ht="15" x14ac:dyDescent="0.25">
      <c r="A23" s="277" t="s">
        <v>87</v>
      </c>
      <c r="B23" s="403" t="s">
        <v>134</v>
      </c>
      <c r="C23" s="404"/>
      <c r="D23" s="404"/>
      <c r="E23" s="404"/>
      <c r="F23" s="404"/>
      <c r="G23" s="404"/>
      <c r="H23" s="231"/>
      <c r="I23" s="35"/>
      <c r="K23" s="308" t="s">
        <v>85</v>
      </c>
      <c r="L23" s="40"/>
      <c r="M23" s="1"/>
      <c r="N23" s="292" t="s">
        <v>135</v>
      </c>
      <c r="O23" s="25" t="s">
        <v>90</v>
      </c>
      <c r="P23" s="25" t="s">
        <v>114</v>
      </c>
      <c r="Q23" s="25">
        <v>11</v>
      </c>
      <c r="R23" s="25">
        <v>26.5</v>
      </c>
      <c r="S23" s="25" t="s">
        <v>109</v>
      </c>
      <c r="T23" s="25" t="s">
        <v>93</v>
      </c>
      <c r="U23" s="291" t="s">
        <v>94</v>
      </c>
    </row>
    <row r="24" spans="1:21" customFormat="1" ht="15" x14ac:dyDescent="0.25">
      <c r="A24" s="277" t="s">
        <v>110</v>
      </c>
      <c r="B24" s="236" t="s">
        <v>85</v>
      </c>
      <c r="C24" s="24"/>
      <c r="D24" s="24"/>
      <c r="E24" s="24"/>
      <c r="F24" s="24"/>
      <c r="G24" s="24"/>
      <c r="H24" s="231"/>
      <c r="I24" s="35"/>
      <c r="K24" s="308" t="s">
        <v>85</v>
      </c>
      <c r="L24" s="40"/>
      <c r="M24" s="1"/>
      <c r="N24" s="292" t="s">
        <v>136</v>
      </c>
      <c r="O24" s="25" t="s">
        <v>90</v>
      </c>
      <c r="P24" s="25" t="s">
        <v>114</v>
      </c>
      <c r="Q24" s="25">
        <v>11</v>
      </c>
      <c r="R24" s="25">
        <v>26.5</v>
      </c>
      <c r="S24" s="25" t="s">
        <v>92</v>
      </c>
      <c r="T24" s="25" t="s">
        <v>137</v>
      </c>
      <c r="U24" s="291" t="s">
        <v>94</v>
      </c>
    </row>
    <row r="25" spans="1:21" customFormat="1" ht="15" x14ac:dyDescent="0.25">
      <c r="A25" s="277" t="s">
        <v>138</v>
      </c>
      <c r="B25" s="236" t="s">
        <v>85</v>
      </c>
      <c r="C25" s="24"/>
      <c r="D25" s="24"/>
      <c r="E25" s="24"/>
      <c r="F25" s="24"/>
      <c r="G25" s="24"/>
      <c r="H25" s="231"/>
      <c r="I25" s="35"/>
      <c r="K25" s="308" t="s">
        <v>85</v>
      </c>
      <c r="L25" s="40"/>
      <c r="M25" s="1"/>
      <c r="N25" s="292" t="s">
        <v>139</v>
      </c>
      <c r="O25" s="25" t="s">
        <v>90</v>
      </c>
      <c r="P25" s="25" t="s">
        <v>96</v>
      </c>
      <c r="Q25" s="25">
        <v>11</v>
      </c>
      <c r="R25" s="25">
        <v>15</v>
      </c>
      <c r="S25" s="25" t="s">
        <v>93</v>
      </c>
      <c r="T25" s="25" t="s">
        <v>93</v>
      </c>
      <c r="U25" s="291" t="s">
        <v>94</v>
      </c>
    </row>
    <row r="26" spans="1:21" customFormat="1" ht="29.25" x14ac:dyDescent="0.25">
      <c r="A26" s="277" t="s">
        <v>140</v>
      </c>
      <c r="B26" s="236" t="s">
        <v>85</v>
      </c>
      <c r="C26" s="24"/>
      <c r="D26" s="24"/>
      <c r="E26" s="24"/>
      <c r="F26" s="24"/>
      <c r="G26" s="24"/>
      <c r="H26" s="231"/>
      <c r="I26" s="35"/>
      <c r="K26" s="308" t="s">
        <v>85</v>
      </c>
      <c r="L26" s="40"/>
      <c r="M26" s="1"/>
      <c r="N26" s="292" t="s">
        <v>141</v>
      </c>
      <c r="O26" s="25" t="s">
        <v>90</v>
      </c>
      <c r="P26" s="25" t="s">
        <v>114</v>
      </c>
      <c r="Q26" s="25">
        <v>22</v>
      </c>
      <c r="R26" s="25">
        <v>31.5</v>
      </c>
      <c r="S26" s="25" t="s">
        <v>93</v>
      </c>
      <c r="T26" s="25" t="s">
        <v>93</v>
      </c>
      <c r="U26" s="291" t="s">
        <v>94</v>
      </c>
    </row>
    <row r="27" spans="1:21" customFormat="1" ht="30" thickBot="1" x14ac:dyDescent="0.3">
      <c r="A27" s="277" t="s">
        <v>142</v>
      </c>
      <c r="B27" s="236" t="s">
        <v>85</v>
      </c>
      <c r="C27" s="24"/>
      <c r="D27" s="24"/>
      <c r="E27" s="24"/>
      <c r="F27" s="24"/>
      <c r="G27" s="24"/>
      <c r="H27" s="231"/>
      <c r="I27" s="35"/>
      <c r="K27" s="308" t="s">
        <v>85</v>
      </c>
      <c r="L27" s="40"/>
      <c r="M27" s="1"/>
      <c r="N27" s="293" t="s">
        <v>143</v>
      </c>
      <c r="O27" s="294" t="s">
        <v>90</v>
      </c>
      <c r="P27" s="294" t="s">
        <v>114</v>
      </c>
      <c r="Q27" s="294">
        <v>22</v>
      </c>
      <c r="R27" s="294">
        <v>55.5</v>
      </c>
      <c r="S27" s="294" t="s">
        <v>93</v>
      </c>
      <c r="T27" s="294" t="s">
        <v>93</v>
      </c>
      <c r="U27" s="295" t="s">
        <v>94</v>
      </c>
    </row>
    <row r="28" spans="1:21" customFormat="1" ht="30.75" thickBot="1" x14ac:dyDescent="0.3">
      <c r="A28" s="278" t="s">
        <v>144</v>
      </c>
      <c r="B28" s="236" t="str">
        <f>IF(B18=$N$5,"Yes","No")</f>
        <v>No</v>
      </c>
      <c r="C28" s="24"/>
      <c r="D28" s="24"/>
      <c r="E28" s="24"/>
      <c r="F28" s="24"/>
      <c r="G28" s="24"/>
      <c r="H28" s="231"/>
      <c r="I28" s="35"/>
      <c r="K28" s="308" t="s">
        <v>85</v>
      </c>
      <c r="L28" s="40"/>
      <c r="M28" s="1"/>
    </row>
    <row r="29" spans="1:21" ht="15.75" thickBot="1" x14ac:dyDescent="0.3">
      <c r="A29" s="229" t="s">
        <v>121</v>
      </c>
      <c r="B29" s="403" t="s">
        <v>145</v>
      </c>
      <c r="C29" s="404"/>
      <c r="D29" s="404"/>
      <c r="E29" s="404"/>
      <c r="F29" s="404"/>
      <c r="G29" s="404"/>
      <c r="H29" s="24"/>
      <c r="J29" s="22"/>
      <c r="K29" s="308" t="s">
        <v>85</v>
      </c>
      <c r="L29" s="40"/>
      <c r="M29" s="1"/>
      <c r="N29" s="302" t="s">
        <v>146</v>
      </c>
      <c r="O29" s="20"/>
      <c r="P29" s="20"/>
      <c r="Q29" s="20"/>
      <c r="R29" s="20"/>
      <c r="S29" s="20"/>
      <c r="T29" s="20"/>
      <c r="U29" s="20"/>
    </row>
    <row r="30" spans="1:21" ht="15.75" thickBot="1" x14ac:dyDescent="0.3">
      <c r="A30" s="24"/>
      <c r="B30" s="236"/>
      <c r="C30" s="24"/>
      <c r="D30" s="24"/>
      <c r="E30" s="24"/>
      <c r="F30" s="24"/>
      <c r="G30" s="24"/>
      <c r="H30" s="24"/>
      <c r="K30" s="308" t="s">
        <v>85</v>
      </c>
      <c r="L30" s="40"/>
      <c r="M30" s="1"/>
      <c r="N30" s="303" t="s">
        <v>147</v>
      </c>
      <c r="O30"/>
      <c r="P30"/>
      <c r="Q30"/>
      <c r="R30"/>
      <c r="S30"/>
      <c r="T30"/>
      <c r="U30"/>
    </row>
    <row r="31" spans="1:21" ht="15.75" thickBot="1" x14ac:dyDescent="0.3">
      <c r="A31" s="275" t="s">
        <v>148</v>
      </c>
      <c r="B31" s="401" t="s">
        <v>149</v>
      </c>
      <c r="C31" s="402"/>
      <c r="D31" s="402"/>
      <c r="E31" s="402"/>
      <c r="F31" s="402"/>
      <c r="G31" s="402"/>
      <c r="H31" s="402"/>
      <c r="K31" s="308" t="s">
        <v>85</v>
      </c>
      <c r="L31" s="40"/>
      <c r="M31" s="1"/>
      <c r="N31" s="304" t="s">
        <v>150</v>
      </c>
      <c r="O31"/>
      <c r="P31"/>
      <c r="Q31"/>
      <c r="R31"/>
      <c r="S31"/>
      <c r="T31"/>
      <c r="U31"/>
    </row>
    <row r="32" spans="1:21" ht="15.75" thickBot="1" x14ac:dyDescent="0.3">
      <c r="A32" s="229" t="s">
        <v>87</v>
      </c>
      <c r="B32" s="236" t="s">
        <v>143</v>
      </c>
      <c r="C32" s="24"/>
      <c r="D32" s="24"/>
      <c r="E32" s="24"/>
      <c r="F32" s="24"/>
      <c r="G32" s="24"/>
      <c r="H32" s="24"/>
      <c r="K32" s="308" t="s">
        <v>85</v>
      </c>
      <c r="L32" s="40"/>
      <c r="M32" s="1"/>
      <c r="N32" s="305" t="s">
        <v>85</v>
      </c>
      <c r="O32"/>
      <c r="P32"/>
      <c r="Q32"/>
      <c r="R32"/>
      <c r="S32"/>
      <c r="T32"/>
      <c r="U32"/>
    </row>
    <row r="33" spans="1:21" s="8" customFormat="1" ht="30" thickBot="1" x14ac:dyDescent="0.3">
      <c r="A33" s="276"/>
      <c r="B33" s="237" t="str">
        <f>CONCATENATE($O$2&amp;": "&amp;VLOOKUP($B32,$N$4:$U$27,2,0))</f>
        <v>Font: Arial</v>
      </c>
      <c r="C33" s="19" t="str">
        <f>CONCATENATE($P$2&amp;": "&amp;VLOOKUP($B32,$N$4:$U$27,3,0))</f>
        <v>T-face: Bold</v>
      </c>
      <c r="D33" s="19" t="str">
        <f>CONCATENATE($Q$2&amp;": "&amp;VLOOKUP($B32,$N$4:$U$27,4,0))</f>
        <v>Font size: 22</v>
      </c>
      <c r="E33" s="19" t="str">
        <f>CONCATENATE($R$2&amp;": "&amp;VLOOKUP($B32,$N$4:$U$27,5,0))</f>
        <v>Row height: 55.5</v>
      </c>
      <c r="F33" s="19" t="str">
        <f>CONCATENATE($S$2&amp;": "&amp;VLOOKUP($B32,$N$4:$U$27,6,0))</f>
        <v>Text col: White</v>
      </c>
      <c r="G33" s="19" t="str">
        <f>CONCATENATE($T$2&amp;": "&amp;VLOOKUP($B32,$N$4:$U$27,7,0))</f>
        <v>BG col: White</v>
      </c>
      <c r="H33" s="19" t="str">
        <f>CONCATENATE($U$2&amp;": "&amp;VLOOKUP($B32,$N$4:$U$27,8,0))</f>
        <v>Just: Left</v>
      </c>
      <c r="I33" s="37"/>
      <c r="J33" s="2"/>
      <c r="K33" s="308" t="s">
        <v>85</v>
      </c>
      <c r="L33" s="40"/>
      <c r="M33" s="1"/>
      <c r="N33" s="306" t="s">
        <v>151</v>
      </c>
      <c r="O33"/>
      <c r="P33"/>
      <c r="Q33"/>
      <c r="R33"/>
      <c r="S33"/>
      <c r="T33"/>
      <c r="U33"/>
    </row>
    <row r="34" spans="1:21" ht="30.75" thickBot="1" x14ac:dyDescent="0.3">
      <c r="A34" s="229" t="s">
        <v>99</v>
      </c>
      <c r="B34" s="236" t="s">
        <v>149</v>
      </c>
      <c r="C34" s="24"/>
      <c r="D34" s="24"/>
      <c r="E34" s="24"/>
      <c r="F34" s="24"/>
      <c r="G34" s="24"/>
      <c r="H34" s="24"/>
      <c r="J34" s="8"/>
      <c r="K34" s="308" t="s">
        <v>85</v>
      </c>
      <c r="L34" s="40"/>
      <c r="M34" s="1"/>
      <c r="N34" s="307" t="s">
        <v>152</v>
      </c>
      <c r="O34"/>
      <c r="P34"/>
      <c r="Q34"/>
      <c r="R34"/>
      <c r="S34"/>
      <c r="T34"/>
      <c r="U34"/>
    </row>
    <row r="35" spans="1:21" ht="15" x14ac:dyDescent="0.25">
      <c r="A35" s="229" t="s">
        <v>102</v>
      </c>
      <c r="B35" s="407" t="s">
        <v>153</v>
      </c>
      <c r="C35" s="408"/>
      <c r="D35" s="408"/>
      <c r="E35" s="408"/>
      <c r="F35" s="408"/>
      <c r="G35" s="408"/>
      <c r="H35" s="24"/>
      <c r="K35" s="308" t="s">
        <v>151</v>
      </c>
      <c r="L35" s="40"/>
      <c r="M35" s="1"/>
      <c r="N35"/>
      <c r="O35"/>
      <c r="P35"/>
      <c r="Q35"/>
      <c r="R35"/>
      <c r="S35"/>
      <c r="T35"/>
      <c r="U35"/>
    </row>
    <row r="36" spans="1:21" ht="15" x14ac:dyDescent="0.25">
      <c r="A36" s="277" t="s">
        <v>104</v>
      </c>
      <c r="B36" s="236" t="s">
        <v>154</v>
      </c>
      <c r="C36" s="24"/>
      <c r="D36" s="24"/>
      <c r="E36" s="24"/>
      <c r="F36" s="24"/>
      <c r="G36" s="24"/>
      <c r="H36" s="24"/>
      <c r="K36" s="308" t="s">
        <v>85</v>
      </c>
      <c r="L36" s="40"/>
      <c r="M36" s="1"/>
      <c r="N36"/>
      <c r="O36"/>
      <c r="P36"/>
      <c r="Q36"/>
      <c r="R36"/>
      <c r="S36"/>
      <c r="T36"/>
      <c r="U36"/>
    </row>
    <row r="37" spans="1:21" ht="15" x14ac:dyDescent="0.25">
      <c r="A37" s="277" t="s">
        <v>87</v>
      </c>
      <c r="B37" s="403" t="s">
        <v>155</v>
      </c>
      <c r="C37" s="404"/>
      <c r="D37" s="404"/>
      <c r="E37" s="404"/>
      <c r="F37" s="404"/>
      <c r="G37" s="404"/>
      <c r="H37" s="24"/>
      <c r="K37" s="308" t="s">
        <v>85</v>
      </c>
      <c r="L37" s="40"/>
      <c r="M37" s="1"/>
      <c r="N37"/>
      <c r="O37"/>
      <c r="P37"/>
      <c r="Q37"/>
      <c r="R37"/>
      <c r="S37"/>
      <c r="T37"/>
      <c r="U37"/>
    </row>
    <row r="38" spans="1:21" ht="15" x14ac:dyDescent="0.25">
      <c r="A38" s="277" t="s">
        <v>110</v>
      </c>
      <c r="B38" s="236" t="s">
        <v>85</v>
      </c>
      <c r="C38" s="24"/>
      <c r="D38" s="24"/>
      <c r="E38" s="24"/>
      <c r="F38" s="24"/>
      <c r="G38" s="24"/>
      <c r="H38" s="24"/>
      <c r="K38" s="308" t="s">
        <v>85</v>
      </c>
      <c r="L38" s="40"/>
      <c r="M38" s="1"/>
      <c r="N38" s="23"/>
      <c r="O38" s="23"/>
      <c r="P38" s="23"/>
      <c r="Q38" s="23"/>
      <c r="R38" s="23"/>
      <c r="S38" s="23"/>
    </row>
    <row r="39" spans="1:21" ht="15" x14ac:dyDescent="0.25">
      <c r="A39" s="277" t="s">
        <v>138</v>
      </c>
      <c r="B39" s="236" t="s">
        <v>85</v>
      </c>
      <c r="C39" s="24"/>
      <c r="D39" s="24"/>
      <c r="E39" s="24"/>
      <c r="F39" s="24"/>
      <c r="G39" s="24"/>
      <c r="H39" s="24"/>
      <c r="K39" s="308" t="s">
        <v>85</v>
      </c>
      <c r="L39" s="40"/>
      <c r="M39" s="1"/>
      <c r="T39" s="8"/>
      <c r="U39" s="8"/>
    </row>
    <row r="40" spans="1:21" ht="15" x14ac:dyDescent="0.25">
      <c r="A40" s="277" t="s">
        <v>140</v>
      </c>
      <c r="B40" s="236" t="s">
        <v>85</v>
      </c>
      <c r="C40" s="24"/>
      <c r="D40" s="24"/>
      <c r="E40" s="24"/>
      <c r="F40" s="24"/>
      <c r="G40" s="24"/>
      <c r="H40" s="24"/>
      <c r="K40" s="308" t="s">
        <v>85</v>
      </c>
      <c r="L40" s="40"/>
      <c r="M40" s="1"/>
      <c r="N40" s="8"/>
      <c r="O40" s="8"/>
      <c r="P40" s="8"/>
      <c r="Q40" s="8"/>
      <c r="R40" s="8"/>
      <c r="S40" s="8"/>
    </row>
    <row r="41" spans="1:21" ht="15" x14ac:dyDescent="0.25">
      <c r="A41" s="277" t="s">
        <v>142</v>
      </c>
      <c r="B41" s="236" t="s">
        <v>85</v>
      </c>
      <c r="C41" s="24"/>
      <c r="D41" s="24"/>
      <c r="E41" s="24"/>
      <c r="F41" s="24"/>
      <c r="G41" s="24"/>
      <c r="H41" s="24"/>
      <c r="K41" s="308" t="s">
        <v>85</v>
      </c>
      <c r="L41" s="40"/>
      <c r="M41" s="1"/>
    </row>
    <row r="42" spans="1:21" customFormat="1" ht="30" x14ac:dyDescent="0.25">
      <c r="A42" s="278" t="s">
        <v>144</v>
      </c>
      <c r="B42" s="236" t="str">
        <f>IF(B32=$N$5,"Yes","No")</f>
        <v>No</v>
      </c>
      <c r="C42" s="24"/>
      <c r="D42" s="24"/>
      <c r="E42" s="24"/>
      <c r="F42" s="24"/>
      <c r="G42" s="24"/>
      <c r="H42" s="231"/>
      <c r="I42" s="35"/>
      <c r="J42" s="2"/>
      <c r="K42" s="308" t="s">
        <v>85</v>
      </c>
      <c r="L42" s="40"/>
      <c r="M42" s="1"/>
      <c r="N42" s="2"/>
      <c r="O42" s="2"/>
      <c r="P42" s="2"/>
      <c r="Q42" s="2"/>
      <c r="R42" s="2"/>
      <c r="S42" s="2"/>
      <c r="T42" s="2"/>
      <c r="U42" s="2"/>
    </row>
    <row r="43" spans="1:21" ht="15" x14ac:dyDescent="0.25">
      <c r="A43" s="229" t="s">
        <v>121</v>
      </c>
      <c r="B43" s="403" t="s">
        <v>156</v>
      </c>
      <c r="C43" s="404"/>
      <c r="D43" s="404"/>
      <c r="E43" s="404"/>
      <c r="F43" s="404"/>
      <c r="G43" s="404"/>
      <c r="H43" s="24"/>
      <c r="J43" s="22"/>
      <c r="K43" s="308" t="s">
        <v>85</v>
      </c>
      <c r="L43" s="40"/>
      <c r="M43" s="1"/>
    </row>
    <row r="44" spans="1:21" ht="15" thickBot="1" x14ac:dyDescent="0.25">
      <c r="A44" s="24"/>
      <c r="B44" s="236"/>
      <c r="C44" s="24"/>
      <c r="D44" s="24"/>
      <c r="E44" s="24"/>
      <c r="F44" s="24"/>
      <c r="G44" s="24"/>
      <c r="H44" s="24"/>
      <c r="K44" s="308" t="s">
        <v>85</v>
      </c>
      <c r="L44" s="40"/>
      <c r="M44" s="1"/>
    </row>
    <row r="45" spans="1:21" ht="15.75" thickBot="1" x14ac:dyDescent="0.3">
      <c r="A45" s="275" t="s">
        <v>157</v>
      </c>
      <c r="B45" s="401" t="s">
        <v>139</v>
      </c>
      <c r="C45" s="402"/>
      <c r="D45" s="402"/>
      <c r="E45" s="402"/>
      <c r="F45" s="402"/>
      <c r="G45" s="402"/>
      <c r="H45" s="402"/>
      <c r="K45" s="308" t="s">
        <v>85</v>
      </c>
      <c r="L45" s="40"/>
      <c r="M45" s="1"/>
    </row>
    <row r="46" spans="1:21" ht="15" x14ac:dyDescent="0.25">
      <c r="A46" s="229" t="s">
        <v>87</v>
      </c>
      <c r="B46" s="236" t="s">
        <v>139</v>
      </c>
      <c r="C46" s="24"/>
      <c r="D46" s="24"/>
      <c r="E46" s="24"/>
      <c r="F46" s="24"/>
      <c r="G46" s="24"/>
      <c r="H46" s="24"/>
      <c r="K46" s="308" t="s">
        <v>85</v>
      </c>
      <c r="L46" s="40"/>
      <c r="M46" s="1"/>
    </row>
    <row r="47" spans="1:21" s="8" customFormat="1" ht="29.25" x14ac:dyDescent="0.25">
      <c r="A47" s="276"/>
      <c r="B47" s="237" t="str">
        <f>CONCATENATE($O$2&amp;": "&amp;VLOOKUP($B46,$N$4:$U$27,2,0))</f>
        <v>Font: Arial</v>
      </c>
      <c r="C47" s="19" t="str">
        <f>CONCATENATE($P$2&amp;": "&amp;VLOOKUP($B46,$N$4:$U$27,3,0))</f>
        <v>T-face: Normal</v>
      </c>
      <c r="D47" s="19" t="str">
        <f>CONCATENATE($Q$2&amp;": "&amp;VLOOKUP($B46,$N$4:$U$27,4,0))</f>
        <v>Font size: 11</v>
      </c>
      <c r="E47" s="19" t="str">
        <f>CONCATENATE($R$2&amp;": "&amp;VLOOKUP($B46,$N$4:$U$27,5,0))</f>
        <v>Row height: 15</v>
      </c>
      <c r="F47" s="19" t="str">
        <f>CONCATENATE($S$2&amp;": "&amp;VLOOKUP($B46,$N$4:$U$27,6,0))</f>
        <v>Text col: White</v>
      </c>
      <c r="G47" s="19" t="str">
        <f>CONCATENATE($T$2&amp;": "&amp;VLOOKUP($B46,$N$4:$U$27,7,0))</f>
        <v>BG col: White</v>
      </c>
      <c r="H47" s="19" t="str">
        <f>CONCATENATE($U$2&amp;": "&amp;VLOOKUP($B46,$N$4:$U$27,8,0))</f>
        <v>Just: Left</v>
      </c>
      <c r="I47" s="37"/>
      <c r="J47" s="2"/>
      <c r="K47" s="308" t="s">
        <v>85</v>
      </c>
      <c r="L47" s="40"/>
      <c r="M47" s="1"/>
      <c r="N47" s="2"/>
      <c r="O47" s="2"/>
      <c r="P47" s="2"/>
      <c r="Q47" s="2"/>
      <c r="R47" s="2"/>
      <c r="S47" s="2"/>
      <c r="T47" s="2"/>
      <c r="U47" s="2"/>
    </row>
    <row r="48" spans="1:21" ht="15" x14ac:dyDescent="0.25">
      <c r="A48" s="229" t="s">
        <v>99</v>
      </c>
      <c r="B48" s="236" t="s">
        <v>48</v>
      </c>
      <c r="C48" s="24"/>
      <c r="D48" s="24"/>
      <c r="E48" s="24"/>
      <c r="F48" s="24"/>
      <c r="G48" s="24"/>
      <c r="H48" s="24"/>
      <c r="J48" s="8"/>
      <c r="K48" s="308" t="s">
        <v>85</v>
      </c>
      <c r="L48" s="40"/>
      <c r="M48" s="1"/>
    </row>
    <row r="49" spans="1:21" ht="15" x14ac:dyDescent="0.25">
      <c r="A49" s="229" t="s">
        <v>102</v>
      </c>
      <c r="B49" s="238" t="str">
        <f>CONCATENATE(" V "&amp;TEXT(MAX('Version control and about'!B18:B25),"0.00")&amp;"")</f>
        <v xml:space="preserve"> V 1.03</v>
      </c>
      <c r="C49" s="24"/>
      <c r="D49" s="24"/>
      <c r="E49" s="24"/>
      <c r="F49" s="24"/>
      <c r="G49" s="24"/>
      <c r="H49" s="24"/>
      <c r="K49" s="308" t="s">
        <v>151</v>
      </c>
      <c r="L49" s="40"/>
      <c r="M49" s="1"/>
      <c r="N49"/>
      <c r="O49"/>
      <c r="P49"/>
      <c r="Q49"/>
      <c r="R49"/>
      <c r="S49"/>
      <c r="T49"/>
      <c r="U49"/>
    </row>
    <row r="50" spans="1:21" ht="15" x14ac:dyDescent="0.25">
      <c r="A50" s="277" t="s">
        <v>104</v>
      </c>
      <c r="B50" s="236" t="s">
        <v>158</v>
      </c>
      <c r="C50" s="24"/>
      <c r="D50" s="24"/>
      <c r="E50" s="24"/>
      <c r="F50" s="24"/>
      <c r="G50" s="24"/>
      <c r="H50" s="24"/>
      <c r="K50" s="308" t="s">
        <v>85</v>
      </c>
      <c r="L50" s="40"/>
      <c r="M50" s="1"/>
      <c r="N50"/>
      <c r="O50"/>
      <c r="P50"/>
      <c r="Q50"/>
      <c r="R50"/>
      <c r="S50"/>
      <c r="T50"/>
      <c r="U50"/>
    </row>
    <row r="51" spans="1:21" ht="15" x14ac:dyDescent="0.25">
      <c r="A51" s="277" t="s">
        <v>87</v>
      </c>
      <c r="B51" s="403" t="s">
        <v>155</v>
      </c>
      <c r="C51" s="404"/>
      <c r="D51" s="404"/>
      <c r="E51" s="404"/>
      <c r="F51" s="404"/>
      <c r="G51" s="404"/>
      <c r="H51" s="24"/>
      <c r="K51" s="308" t="s">
        <v>85</v>
      </c>
      <c r="L51" s="40"/>
      <c r="M51" s="1"/>
      <c r="N51"/>
      <c r="O51"/>
      <c r="P51"/>
      <c r="Q51"/>
      <c r="R51"/>
      <c r="S51"/>
      <c r="T51"/>
      <c r="U51"/>
    </row>
    <row r="52" spans="1:21" ht="15" x14ac:dyDescent="0.25">
      <c r="A52" s="277"/>
      <c r="B52" s="239"/>
      <c r="C52" s="24"/>
      <c r="D52" s="150"/>
      <c r="E52" s="150"/>
      <c r="F52" s="150"/>
      <c r="G52" s="150"/>
      <c r="H52" s="24"/>
      <c r="K52" s="308" t="s">
        <v>85</v>
      </c>
      <c r="L52" s="40"/>
      <c r="M52" s="1"/>
      <c r="N52" s="23"/>
      <c r="O52" s="23"/>
      <c r="P52" s="23"/>
      <c r="Q52" s="23"/>
      <c r="R52" s="23"/>
      <c r="S52" s="23"/>
    </row>
    <row r="53" spans="1:21" ht="15" x14ac:dyDescent="0.25">
      <c r="A53" s="277"/>
      <c r="B53" s="239"/>
      <c r="C53" s="24"/>
      <c r="D53" s="150"/>
      <c r="E53" s="150"/>
      <c r="F53" s="150"/>
      <c r="G53" s="150"/>
      <c r="H53" s="24"/>
      <c r="K53" s="308" t="s">
        <v>85</v>
      </c>
      <c r="L53" s="40"/>
      <c r="M53" s="1"/>
    </row>
    <row r="54" spans="1:21" ht="15" x14ac:dyDescent="0.25">
      <c r="A54" s="277"/>
      <c r="B54" s="239"/>
      <c r="C54" s="24"/>
      <c r="D54" s="150"/>
      <c r="E54" s="150"/>
      <c r="F54" s="150"/>
      <c r="G54" s="150"/>
      <c r="H54" s="24"/>
      <c r="K54" s="308" t="s">
        <v>85</v>
      </c>
      <c r="L54" s="40"/>
      <c r="M54" s="1"/>
    </row>
    <row r="55" spans="1:21" ht="15" x14ac:dyDescent="0.25">
      <c r="A55" s="277" t="s">
        <v>110</v>
      </c>
      <c r="B55" s="236" t="s">
        <v>85</v>
      </c>
      <c r="C55" s="24"/>
      <c r="D55" s="24"/>
      <c r="E55" s="24"/>
      <c r="F55" s="24"/>
      <c r="G55" s="24"/>
      <c r="H55" s="24"/>
      <c r="K55" s="308" t="s">
        <v>85</v>
      </c>
      <c r="L55" s="40"/>
      <c r="M55" s="1"/>
    </row>
    <row r="56" spans="1:21" ht="15" x14ac:dyDescent="0.25">
      <c r="A56" s="277" t="s">
        <v>138</v>
      </c>
      <c r="B56" s="236" t="s">
        <v>85</v>
      </c>
      <c r="C56" s="24"/>
      <c r="D56" s="24"/>
      <c r="E56" s="24"/>
      <c r="F56" s="24"/>
      <c r="G56" s="24"/>
      <c r="H56" s="24"/>
      <c r="K56" s="308" t="s">
        <v>85</v>
      </c>
      <c r="L56" s="40"/>
      <c r="M56" s="1"/>
      <c r="T56" s="8"/>
      <c r="U56" s="8"/>
    </row>
    <row r="57" spans="1:21" ht="15" x14ac:dyDescent="0.25">
      <c r="A57" s="277" t="s">
        <v>140</v>
      </c>
      <c r="B57" s="236" t="s">
        <v>85</v>
      </c>
      <c r="C57" s="24"/>
      <c r="D57" s="24"/>
      <c r="E57" s="24"/>
      <c r="F57" s="24"/>
      <c r="G57" s="24"/>
      <c r="H57" s="24"/>
      <c r="K57" s="308" t="s">
        <v>85</v>
      </c>
      <c r="L57" s="40"/>
      <c r="M57" s="1"/>
      <c r="N57" s="8"/>
      <c r="O57" s="8"/>
      <c r="P57" s="8"/>
      <c r="Q57" s="8"/>
      <c r="R57" s="8"/>
      <c r="S57" s="8"/>
    </row>
    <row r="58" spans="1:21" ht="15" x14ac:dyDescent="0.25">
      <c r="A58" s="277" t="s">
        <v>142</v>
      </c>
      <c r="B58" s="236" t="s">
        <v>85</v>
      </c>
      <c r="C58" s="24"/>
      <c r="D58" s="24"/>
      <c r="E58" s="24"/>
      <c r="F58" s="24"/>
      <c r="G58" s="24"/>
      <c r="H58" s="24"/>
      <c r="K58" s="308" t="s">
        <v>85</v>
      </c>
      <c r="L58" s="40"/>
      <c r="M58" s="1"/>
    </row>
    <row r="59" spans="1:21" customFormat="1" ht="30" x14ac:dyDescent="0.25">
      <c r="A59" s="278" t="s">
        <v>144</v>
      </c>
      <c r="B59" s="236" t="str">
        <f>IF(B46=$N$5,"Yes","No")</f>
        <v>No</v>
      </c>
      <c r="C59" s="24"/>
      <c r="D59" s="24"/>
      <c r="E59" s="24"/>
      <c r="F59" s="24"/>
      <c r="G59" s="24"/>
      <c r="H59" s="231"/>
      <c r="I59" s="35"/>
      <c r="J59" s="2"/>
      <c r="K59" s="308" t="s">
        <v>85</v>
      </c>
      <c r="L59" s="40"/>
      <c r="M59" s="1"/>
      <c r="N59" s="2"/>
      <c r="O59" s="2"/>
      <c r="P59" s="2"/>
      <c r="Q59" s="2"/>
      <c r="R59" s="2"/>
      <c r="S59" s="2"/>
      <c r="T59" s="2"/>
      <c r="U59" s="2"/>
    </row>
    <row r="60" spans="1:21" ht="15" x14ac:dyDescent="0.25">
      <c r="A60" s="229" t="s">
        <v>121</v>
      </c>
      <c r="B60" s="403" t="s">
        <v>159</v>
      </c>
      <c r="C60" s="404"/>
      <c r="D60" s="404"/>
      <c r="E60" s="404"/>
      <c r="F60" s="404"/>
      <c r="G60" s="404"/>
      <c r="H60" s="24"/>
      <c r="J60" s="22"/>
      <c r="K60" s="308" t="s">
        <v>85</v>
      </c>
      <c r="L60" s="40"/>
      <c r="M60" s="1"/>
    </row>
    <row r="61" spans="1:21" ht="15" thickBot="1" x14ac:dyDescent="0.25">
      <c r="A61" s="24"/>
      <c r="B61" s="236"/>
      <c r="C61" s="24"/>
      <c r="D61" s="24"/>
      <c r="E61" s="24"/>
      <c r="F61" s="24"/>
      <c r="G61" s="24"/>
      <c r="H61" s="24"/>
      <c r="K61" s="308" t="s">
        <v>85</v>
      </c>
      <c r="L61" s="40"/>
      <c r="M61" s="1"/>
    </row>
    <row r="62" spans="1:21" ht="15.75" thickBot="1" x14ac:dyDescent="0.3">
      <c r="A62" s="275" t="s">
        <v>160</v>
      </c>
      <c r="B62" s="401" t="s">
        <v>161</v>
      </c>
      <c r="C62" s="402"/>
      <c r="D62" s="402"/>
      <c r="E62" s="402"/>
      <c r="F62" s="402"/>
      <c r="G62" s="402"/>
      <c r="H62" s="402"/>
      <c r="K62" s="308" t="s">
        <v>85</v>
      </c>
      <c r="L62" s="40"/>
      <c r="M62" s="1"/>
    </row>
    <row r="63" spans="1:21" ht="15" x14ac:dyDescent="0.25">
      <c r="A63" s="229" t="s">
        <v>87</v>
      </c>
      <c r="B63" s="236" t="s">
        <v>18</v>
      </c>
      <c r="C63" s="24"/>
      <c r="D63" s="24"/>
      <c r="E63" s="24"/>
      <c r="F63" s="24"/>
      <c r="G63" s="24"/>
      <c r="H63" s="24"/>
      <c r="K63" s="308" t="s">
        <v>85</v>
      </c>
      <c r="L63" s="40"/>
      <c r="M63" s="1"/>
    </row>
    <row r="64" spans="1:21" s="8" customFormat="1" ht="14.45" customHeight="1" x14ac:dyDescent="0.25">
      <c r="A64" s="276"/>
      <c r="B64" s="237" t="str">
        <f>CONCATENATE($O$2&amp;": "&amp;VLOOKUP($B63,$N$4:$U$27,2,0))</f>
        <v>Font: Ariel</v>
      </c>
      <c r="C64" s="19" t="str">
        <f>CONCATENATE($P$2&amp;": "&amp;VLOOKUP($B63,$N$4:$U$27,3,0))</f>
        <v>T-face: Normal</v>
      </c>
      <c r="D64" s="19" t="str">
        <f>CONCATENATE($Q$2&amp;": "&amp;VLOOKUP($B63,$N$4:$U$27,4,0))</f>
        <v>Font size: 11</v>
      </c>
      <c r="E64" s="19" t="str">
        <f>CONCATENATE($R$2&amp;": "&amp;VLOOKUP($B63,$N$4:$U$27,5,0))</f>
        <v>Row height: 15</v>
      </c>
      <c r="F64" s="19" t="str">
        <f>CONCATENATE($S$2&amp;": "&amp;VLOOKUP($B63,$N$4:$U$27,6,0))</f>
        <v>Text col: White</v>
      </c>
      <c r="G64" s="19" t="str">
        <f>CONCATENATE($T$2&amp;": "&amp;VLOOKUP($B63,$N$4:$U$27,7,0))</f>
        <v>BG col: White</v>
      </c>
      <c r="H64" s="19" t="str">
        <f>CONCATENATE($U$2&amp;": "&amp;VLOOKUP($B63,$N$4:$U$27,8,0))</f>
        <v>Just: Left</v>
      </c>
      <c r="I64" s="37"/>
      <c r="J64" s="2"/>
      <c r="K64" s="308" t="s">
        <v>85</v>
      </c>
      <c r="L64" s="40"/>
      <c r="M64" s="1"/>
      <c r="N64" s="2"/>
      <c r="O64" s="2"/>
      <c r="P64" s="2"/>
      <c r="Q64" s="2"/>
      <c r="R64" s="2"/>
      <c r="S64" s="2"/>
      <c r="T64" s="2"/>
      <c r="U64" s="2"/>
    </row>
    <row r="65" spans="1:21" ht="15" x14ac:dyDescent="0.25">
      <c r="A65" s="229" t="s">
        <v>99</v>
      </c>
      <c r="B65" s="236" t="s">
        <v>162</v>
      </c>
      <c r="C65" s="24"/>
      <c r="D65" s="24"/>
      <c r="E65" s="24"/>
      <c r="F65" s="24"/>
      <c r="G65" s="24"/>
      <c r="H65" s="24"/>
      <c r="J65" s="8"/>
      <c r="K65" s="308" t="s">
        <v>85</v>
      </c>
      <c r="L65" s="40"/>
      <c r="M65" s="1"/>
    </row>
    <row r="66" spans="1:21" ht="15" x14ac:dyDescent="0.25">
      <c r="A66" s="229" t="s">
        <v>102</v>
      </c>
      <c r="B66" s="238" t="str">
        <f ca="1">CONCATENATE("Calculated on: ",TEXT(TODAY(),"dd-mmm-yy"))</f>
        <v>Calculated on: 20-Apr-26</v>
      </c>
      <c r="C66" s="39"/>
      <c r="D66" s="39"/>
      <c r="E66" s="39"/>
      <c r="F66" s="39"/>
      <c r="G66" s="39"/>
      <c r="H66" s="24"/>
      <c r="K66" s="308" t="s">
        <v>151</v>
      </c>
      <c r="L66" s="40"/>
      <c r="M66" s="1"/>
    </row>
    <row r="67" spans="1:21" ht="15" x14ac:dyDescent="0.25">
      <c r="A67" s="277" t="s">
        <v>104</v>
      </c>
      <c r="B67" s="236" t="s">
        <v>163</v>
      </c>
      <c r="C67" s="24"/>
      <c r="D67" s="24"/>
      <c r="E67" s="24"/>
      <c r="F67" s="24"/>
      <c r="G67" s="24"/>
      <c r="H67" s="24"/>
      <c r="K67" s="308" t="s">
        <v>85</v>
      </c>
      <c r="L67" s="40"/>
      <c r="M67" s="1"/>
    </row>
    <row r="68" spans="1:21" ht="15" x14ac:dyDescent="0.25">
      <c r="A68" s="277" t="s">
        <v>87</v>
      </c>
      <c r="B68" s="403" t="s">
        <v>164</v>
      </c>
      <c r="C68" s="404"/>
      <c r="D68" s="404"/>
      <c r="E68" s="404"/>
      <c r="F68" s="404"/>
      <c r="G68" s="404"/>
      <c r="H68" s="24"/>
      <c r="K68" s="308" t="s">
        <v>85</v>
      </c>
      <c r="L68" s="40"/>
      <c r="M68" s="1"/>
      <c r="T68"/>
      <c r="U68"/>
    </row>
    <row r="69" spans="1:21" ht="15" x14ac:dyDescent="0.25">
      <c r="A69" s="277" t="s">
        <v>110</v>
      </c>
      <c r="B69" s="236" t="s">
        <v>85</v>
      </c>
      <c r="C69" s="24"/>
      <c r="D69" s="24"/>
      <c r="E69" s="24"/>
      <c r="F69" s="24"/>
      <c r="G69" s="24"/>
      <c r="H69" s="24"/>
      <c r="K69" s="308" t="s">
        <v>85</v>
      </c>
      <c r="L69" s="40"/>
      <c r="M69" s="1"/>
      <c r="N69" s="23"/>
      <c r="O69" s="23"/>
      <c r="P69" s="23"/>
      <c r="Q69" s="23"/>
      <c r="R69" s="23"/>
      <c r="S69" s="23"/>
    </row>
    <row r="70" spans="1:21" ht="15" x14ac:dyDescent="0.25">
      <c r="A70" s="277" t="s">
        <v>138</v>
      </c>
      <c r="B70" s="236" t="s">
        <v>85</v>
      </c>
      <c r="C70" s="24"/>
      <c r="D70" s="24"/>
      <c r="E70" s="24"/>
      <c r="F70" s="24"/>
      <c r="G70" s="24"/>
      <c r="H70" s="24"/>
      <c r="K70" s="308" t="s">
        <v>85</v>
      </c>
      <c r="L70" s="40"/>
      <c r="M70" s="1"/>
    </row>
    <row r="71" spans="1:21" ht="15" x14ac:dyDescent="0.25">
      <c r="A71" s="277" t="s">
        <v>140</v>
      </c>
      <c r="B71" s="236" t="s">
        <v>85</v>
      </c>
      <c r="C71" s="24"/>
      <c r="D71" s="24"/>
      <c r="E71" s="24"/>
      <c r="F71" s="24"/>
      <c r="G71" s="24"/>
      <c r="H71" s="24"/>
      <c r="K71" s="308" t="s">
        <v>85</v>
      </c>
      <c r="L71" s="40"/>
      <c r="M71" s="1"/>
    </row>
    <row r="72" spans="1:21" ht="15" x14ac:dyDescent="0.25">
      <c r="A72" s="277" t="s">
        <v>142</v>
      </c>
      <c r="B72" s="236" t="s">
        <v>85</v>
      </c>
      <c r="C72" s="24"/>
      <c r="D72" s="24"/>
      <c r="E72" s="24"/>
      <c r="F72" s="24"/>
      <c r="G72" s="24"/>
      <c r="H72" s="24"/>
      <c r="K72" s="308" t="s">
        <v>85</v>
      </c>
      <c r="L72" s="40"/>
      <c r="M72" s="1"/>
    </row>
    <row r="73" spans="1:21" customFormat="1" ht="30" x14ac:dyDescent="0.25">
      <c r="A73" s="278" t="s">
        <v>144</v>
      </c>
      <c r="B73" s="236" t="str">
        <f>IF(B63=$N$5,"Yes","No")</f>
        <v>No</v>
      </c>
      <c r="C73" s="24"/>
      <c r="D73" s="24"/>
      <c r="E73" s="24"/>
      <c r="F73" s="24"/>
      <c r="G73" s="24"/>
      <c r="H73" s="231"/>
      <c r="I73" s="35"/>
      <c r="J73" s="2"/>
      <c r="K73" s="308" t="s">
        <v>85</v>
      </c>
      <c r="L73" s="40"/>
      <c r="M73" s="1"/>
      <c r="N73" s="2"/>
      <c r="O73" s="2"/>
      <c r="P73" s="2"/>
      <c r="Q73" s="2"/>
      <c r="R73" s="2"/>
      <c r="S73" s="2"/>
      <c r="T73" s="8"/>
      <c r="U73" s="8"/>
    </row>
    <row r="74" spans="1:21" ht="15" x14ac:dyDescent="0.25">
      <c r="A74" s="229" t="s">
        <v>121</v>
      </c>
      <c r="B74" s="403" t="s">
        <v>165</v>
      </c>
      <c r="C74" s="404"/>
      <c r="D74" s="404"/>
      <c r="E74" s="404"/>
      <c r="F74" s="404"/>
      <c r="G74" s="404"/>
      <c r="H74" s="24"/>
      <c r="J74" s="22"/>
      <c r="K74" s="308" t="s">
        <v>85</v>
      </c>
      <c r="L74" s="40"/>
      <c r="M74" s="1"/>
      <c r="N74" s="8"/>
      <c r="O74" s="8"/>
      <c r="P74" s="8"/>
      <c r="Q74" s="8"/>
      <c r="R74" s="8"/>
      <c r="S74" s="8"/>
    </row>
    <row r="75" spans="1:21" ht="15" thickBot="1" x14ac:dyDescent="0.25">
      <c r="A75" s="24"/>
      <c r="B75" s="236"/>
      <c r="C75" s="24"/>
      <c r="D75" s="24"/>
      <c r="E75" s="24"/>
      <c r="F75" s="24"/>
      <c r="G75" s="24"/>
      <c r="H75" s="24"/>
      <c r="K75" s="308" t="s">
        <v>85</v>
      </c>
      <c r="L75" s="40"/>
      <c r="M75" s="1"/>
    </row>
    <row r="76" spans="1:21" ht="15.75" thickBot="1" x14ac:dyDescent="0.3">
      <c r="A76" s="275" t="s">
        <v>166</v>
      </c>
      <c r="B76" s="401" t="s">
        <v>167</v>
      </c>
      <c r="C76" s="402"/>
      <c r="D76" s="402"/>
      <c r="E76" s="402"/>
      <c r="F76" s="402"/>
      <c r="G76" s="402"/>
      <c r="H76" s="402"/>
      <c r="K76" s="308" t="s">
        <v>85</v>
      </c>
      <c r="L76" s="40"/>
      <c r="M76" s="1"/>
    </row>
    <row r="77" spans="1:21" ht="15" x14ac:dyDescent="0.25">
      <c r="A77" s="229" t="s">
        <v>87</v>
      </c>
      <c r="B77" s="236" t="s">
        <v>111</v>
      </c>
      <c r="C77" s="24"/>
      <c r="D77" s="24"/>
      <c r="E77" s="24"/>
      <c r="F77" s="24"/>
      <c r="G77" s="24"/>
      <c r="H77" s="24"/>
      <c r="K77" s="308" t="s">
        <v>85</v>
      </c>
      <c r="L77" s="40"/>
      <c r="M77" s="1"/>
    </row>
    <row r="78" spans="1:21" s="8" customFormat="1" ht="26.1" customHeight="1" x14ac:dyDescent="0.25">
      <c r="A78" s="276"/>
      <c r="B78" s="237" t="str">
        <f>CONCATENATE($O$2&amp;": "&amp;VLOOKUP($B77,$N$4:$U$27,2,0))</f>
        <v>Font: Arial</v>
      </c>
      <c r="C78" s="19" t="str">
        <f>CONCATENATE($P$2&amp;": "&amp;VLOOKUP($B77,$N$4:$U$27,3,0))</f>
        <v>T-face: Normal</v>
      </c>
      <c r="D78" s="19" t="str">
        <f>CONCATENATE($Q$2&amp;": "&amp;VLOOKUP($B77,$N$4:$U$27,4,0))</f>
        <v>Font size: 11</v>
      </c>
      <c r="E78" s="19" t="str">
        <f>CONCATENATE($R$2&amp;": "&amp;VLOOKUP($B77,$N$4:$U$27,5,0))</f>
        <v>Row height: 25</v>
      </c>
      <c r="F78" s="19" t="str">
        <f>CONCATENATE($S$2&amp;": "&amp;VLOOKUP($B77,$N$4:$U$27,6,0))</f>
        <v>Text col: Black</v>
      </c>
      <c r="G78" s="19" t="str">
        <f>CONCATENATE($T$2&amp;": "&amp;VLOOKUP($B77,$N$4:$U$27,7,0))</f>
        <v>BG col: White</v>
      </c>
      <c r="H78" s="19" t="str">
        <f>CONCATENATE($U$2&amp;": "&amp;VLOOKUP($B77,$N$4:$U$27,8,0))</f>
        <v>Just: Left</v>
      </c>
      <c r="I78" s="37"/>
      <c r="J78" s="2"/>
      <c r="K78" s="308" t="s">
        <v>85</v>
      </c>
      <c r="L78" s="40"/>
      <c r="M78" s="1"/>
      <c r="N78" s="2"/>
      <c r="O78" s="2"/>
      <c r="P78" s="2"/>
      <c r="Q78" s="2"/>
      <c r="R78" s="2"/>
      <c r="S78" s="2"/>
      <c r="T78" s="2"/>
      <c r="U78" s="2"/>
    </row>
    <row r="79" spans="1:21" ht="15" x14ac:dyDescent="0.25">
      <c r="A79" s="229" t="s">
        <v>99</v>
      </c>
      <c r="B79" s="236" t="s">
        <v>162</v>
      </c>
      <c r="C79" s="24"/>
      <c r="D79" s="24"/>
      <c r="E79" s="24"/>
      <c r="F79" s="24"/>
      <c r="G79" s="24"/>
      <c r="H79" s="24"/>
      <c r="J79" s="8"/>
      <c r="K79" s="308" t="s">
        <v>85</v>
      </c>
      <c r="L79" s="40"/>
      <c r="M79" s="1"/>
    </row>
    <row r="80" spans="1:21" ht="15" x14ac:dyDescent="0.25">
      <c r="A80" s="229" t="s">
        <v>102</v>
      </c>
      <c r="B80" s="238" t="s">
        <v>168</v>
      </c>
      <c r="C80" s="39"/>
      <c r="D80" s="39"/>
      <c r="E80" s="39"/>
      <c r="F80" s="39"/>
      <c r="G80" s="39"/>
      <c r="H80" s="24"/>
      <c r="K80" s="308" t="s">
        <v>85</v>
      </c>
      <c r="L80" s="40"/>
      <c r="M80" s="1"/>
    </row>
    <row r="81" spans="1:21" ht="15" x14ac:dyDescent="0.25">
      <c r="A81" s="277" t="s">
        <v>104</v>
      </c>
      <c r="B81" s="236" t="s">
        <v>105</v>
      </c>
      <c r="C81" s="24"/>
      <c r="D81" s="24"/>
      <c r="E81" s="24"/>
      <c r="F81" s="24"/>
      <c r="G81" s="24"/>
      <c r="H81" s="24"/>
      <c r="K81" s="308" t="s">
        <v>85</v>
      </c>
      <c r="L81" s="40"/>
      <c r="M81" s="1"/>
    </row>
    <row r="82" spans="1:21" ht="15" x14ac:dyDescent="0.25">
      <c r="A82" s="277" t="s">
        <v>87</v>
      </c>
      <c r="B82" s="403" t="s">
        <v>155</v>
      </c>
      <c r="C82" s="404"/>
      <c r="D82" s="404"/>
      <c r="E82" s="404"/>
      <c r="F82" s="404"/>
      <c r="G82" s="404"/>
      <c r="H82" s="24"/>
      <c r="K82" s="308" t="s">
        <v>85</v>
      </c>
      <c r="L82" s="40"/>
      <c r="M82" s="1"/>
      <c r="T82"/>
      <c r="U82"/>
    </row>
    <row r="83" spans="1:21" ht="15" x14ac:dyDescent="0.25">
      <c r="A83" s="277" t="s">
        <v>110</v>
      </c>
      <c r="B83" s="236" t="s">
        <v>85</v>
      </c>
      <c r="C83" s="24"/>
      <c r="D83" s="24"/>
      <c r="E83" s="24"/>
      <c r="F83" s="24"/>
      <c r="G83" s="24"/>
      <c r="H83" s="24"/>
      <c r="K83" s="308" t="s">
        <v>85</v>
      </c>
      <c r="L83" s="40"/>
      <c r="M83" s="1"/>
      <c r="N83" s="23"/>
      <c r="O83" s="23"/>
      <c r="P83" s="23"/>
      <c r="Q83" s="23"/>
      <c r="R83" s="23"/>
      <c r="S83" s="23"/>
    </row>
    <row r="84" spans="1:21" ht="15" x14ac:dyDescent="0.25">
      <c r="A84" s="277" t="s">
        <v>138</v>
      </c>
      <c r="B84" s="236" t="s">
        <v>85</v>
      </c>
      <c r="C84" s="24"/>
      <c r="D84" s="24"/>
      <c r="E84" s="24"/>
      <c r="F84" s="24"/>
      <c r="G84" s="24"/>
      <c r="H84" s="24"/>
      <c r="K84" s="308" t="s">
        <v>85</v>
      </c>
      <c r="L84" s="40"/>
      <c r="M84" s="1"/>
    </row>
    <row r="85" spans="1:21" ht="15" x14ac:dyDescent="0.25">
      <c r="A85" s="277" t="s">
        <v>140</v>
      </c>
      <c r="B85" s="236" t="s">
        <v>85</v>
      </c>
      <c r="C85" s="24"/>
      <c r="D85" s="24"/>
      <c r="E85" s="24"/>
      <c r="F85" s="24"/>
      <c r="G85" s="24"/>
      <c r="H85" s="24"/>
      <c r="K85" s="308" t="s">
        <v>85</v>
      </c>
      <c r="L85" s="40"/>
      <c r="M85" s="1"/>
    </row>
    <row r="86" spans="1:21" ht="15" x14ac:dyDescent="0.25">
      <c r="A86" s="277" t="s">
        <v>142</v>
      </c>
      <c r="B86" s="236" t="s">
        <v>85</v>
      </c>
      <c r="C86" s="24"/>
      <c r="D86" s="24"/>
      <c r="E86" s="24"/>
      <c r="F86" s="24"/>
      <c r="G86" s="24"/>
      <c r="H86" s="24"/>
      <c r="K86" s="308" t="s">
        <v>85</v>
      </c>
      <c r="L86" s="40"/>
      <c r="M86" s="1"/>
    </row>
    <row r="87" spans="1:21" customFormat="1" ht="30" x14ac:dyDescent="0.25">
      <c r="A87" s="278" t="s">
        <v>144</v>
      </c>
      <c r="B87" s="236" t="str">
        <f>IF(B77=$N$5,"Yes","No")</f>
        <v>No</v>
      </c>
      <c r="C87" s="24"/>
      <c r="D87" s="24"/>
      <c r="E87" s="24"/>
      <c r="F87" s="24"/>
      <c r="G87" s="24"/>
      <c r="H87" s="231"/>
      <c r="I87" s="35"/>
      <c r="J87" s="2"/>
      <c r="K87" s="308" t="s">
        <v>85</v>
      </c>
      <c r="L87" s="40"/>
      <c r="M87" s="1"/>
      <c r="N87" s="2"/>
      <c r="O87" s="2"/>
      <c r="P87" s="2"/>
      <c r="Q87" s="2"/>
      <c r="R87" s="2"/>
      <c r="S87" s="2"/>
      <c r="T87" s="8"/>
      <c r="U87" s="8"/>
    </row>
    <row r="88" spans="1:21" ht="15" x14ac:dyDescent="0.25">
      <c r="A88" s="229" t="s">
        <v>121</v>
      </c>
      <c r="B88" s="403" t="s">
        <v>169</v>
      </c>
      <c r="C88" s="404"/>
      <c r="D88" s="404"/>
      <c r="E88" s="404"/>
      <c r="F88" s="404"/>
      <c r="G88" s="404"/>
      <c r="H88" s="24"/>
      <c r="J88" s="22"/>
      <c r="K88" s="308" t="s">
        <v>85</v>
      </c>
      <c r="L88" s="40"/>
      <c r="M88" s="1"/>
      <c r="N88" s="8"/>
      <c r="O88" s="8"/>
      <c r="P88" s="8"/>
      <c r="Q88" s="8"/>
      <c r="R88" s="8"/>
      <c r="S88" s="8"/>
    </row>
    <row r="89" spans="1:21" ht="15" thickBot="1" x14ac:dyDescent="0.25">
      <c r="A89" s="24"/>
      <c r="B89" s="236"/>
      <c r="C89" s="24"/>
      <c r="D89" s="24"/>
      <c r="E89" s="24"/>
      <c r="F89" s="24"/>
      <c r="G89" s="24"/>
      <c r="H89" s="24"/>
      <c r="K89" s="308" t="s">
        <v>85</v>
      </c>
      <c r="L89" s="40"/>
      <c r="M89" s="1"/>
    </row>
    <row r="90" spans="1:21" ht="15.75" thickBot="1" x14ac:dyDescent="0.3">
      <c r="A90" s="275" t="s">
        <v>170</v>
      </c>
      <c r="B90" s="401" t="s">
        <v>171</v>
      </c>
      <c r="C90" s="402"/>
      <c r="D90" s="402"/>
      <c r="E90" s="402"/>
      <c r="F90" s="402"/>
      <c r="G90" s="402"/>
      <c r="H90" s="402"/>
      <c r="K90" s="308" t="s">
        <v>85</v>
      </c>
      <c r="L90" s="40"/>
      <c r="M90" s="1"/>
    </row>
    <row r="91" spans="1:21" ht="15" x14ac:dyDescent="0.25">
      <c r="A91" s="229" t="s">
        <v>87</v>
      </c>
      <c r="B91" s="236" t="s">
        <v>118</v>
      </c>
      <c r="C91" s="24"/>
      <c r="D91" s="24"/>
      <c r="E91" s="24"/>
      <c r="F91" s="24"/>
      <c r="G91" s="24"/>
      <c r="H91" s="24"/>
      <c r="K91" s="308" t="s">
        <v>85</v>
      </c>
      <c r="L91" s="40"/>
      <c r="M91" s="1"/>
    </row>
    <row r="92" spans="1:21" s="8" customFormat="1" ht="29.25" x14ac:dyDescent="0.25">
      <c r="A92" s="276"/>
      <c r="B92" s="237" t="str">
        <f>CONCATENATE($O$2&amp;": "&amp;VLOOKUP($B91,$N$4:$U$27,2,0))</f>
        <v>Font: Arial</v>
      </c>
      <c r="C92" s="19" t="str">
        <f>CONCATENATE($P$2&amp;": "&amp;VLOOKUP($B91,$N$4:$U$27,3,0))</f>
        <v>T-face: Normal</v>
      </c>
      <c r="D92" s="19" t="str">
        <f>CONCATENATE($Q$2&amp;": "&amp;VLOOKUP($B91,$N$4:$U$27,4,0))</f>
        <v>Font size: 11</v>
      </c>
      <c r="E92" s="19" t="str">
        <f>CONCATENATE($R$2&amp;": "&amp;VLOOKUP($B91,$N$4:$U$27,5,0))</f>
        <v>Row height: 15</v>
      </c>
      <c r="F92" s="19" t="str">
        <f>CONCATENATE($S$2&amp;": "&amp;VLOOKUP($B91,$N$4:$U$27,6,0))</f>
        <v>Text col: Black</v>
      </c>
      <c r="G92" s="19" t="str">
        <f>CONCATENATE($T$2&amp;": "&amp;VLOOKUP($B91,$N$4:$U$27,7,0))</f>
        <v>BG col: White</v>
      </c>
      <c r="H92" s="19" t="str">
        <f>CONCATENATE($U$2&amp;": "&amp;VLOOKUP($B91,$N$4:$U$27,8,0))</f>
        <v>Just: Left</v>
      </c>
      <c r="I92" s="37"/>
      <c r="J92" s="2"/>
      <c r="K92" s="308" t="s">
        <v>85</v>
      </c>
      <c r="L92" s="40"/>
      <c r="M92" s="1"/>
      <c r="N92" s="2"/>
      <c r="O92" s="2"/>
      <c r="P92" s="2"/>
      <c r="Q92" s="2"/>
      <c r="R92" s="2"/>
      <c r="S92" s="2"/>
      <c r="T92" s="2"/>
      <c r="U92" s="2"/>
    </row>
    <row r="93" spans="1:21" ht="15" x14ac:dyDescent="0.25">
      <c r="A93" s="229" t="s">
        <v>99</v>
      </c>
      <c r="B93" s="236" t="s">
        <v>162</v>
      </c>
      <c r="C93" s="24"/>
      <c r="D93" s="24"/>
      <c r="E93" s="24"/>
      <c r="F93" s="24"/>
      <c r="G93" s="24"/>
      <c r="H93" s="24"/>
      <c r="J93" s="8"/>
      <c r="K93" s="308" t="s">
        <v>85</v>
      </c>
      <c r="L93" s="40"/>
      <c r="M93" s="1"/>
    </row>
    <row r="94" spans="1:21" ht="15" x14ac:dyDescent="0.25">
      <c r="A94" s="229" t="s">
        <v>102</v>
      </c>
      <c r="B94" s="238" t="s">
        <v>172</v>
      </c>
      <c r="C94" s="39"/>
      <c r="D94" s="39"/>
      <c r="E94" s="39"/>
      <c r="F94" s="39"/>
      <c r="G94" s="39"/>
      <c r="H94" s="24"/>
      <c r="K94" s="308" t="s">
        <v>85</v>
      </c>
      <c r="L94" s="40"/>
      <c r="M94" s="1"/>
    </row>
    <row r="95" spans="1:21" ht="15" x14ac:dyDescent="0.25">
      <c r="A95" s="277" t="s">
        <v>104</v>
      </c>
      <c r="B95" s="236" t="s">
        <v>105</v>
      </c>
      <c r="C95" s="24"/>
      <c r="D95" s="24"/>
      <c r="E95" s="24"/>
      <c r="F95" s="24"/>
      <c r="G95" s="24"/>
      <c r="H95" s="24"/>
      <c r="K95" s="308" t="s">
        <v>85</v>
      </c>
      <c r="L95" s="40"/>
      <c r="M95" s="1"/>
    </row>
    <row r="96" spans="1:21" ht="15" x14ac:dyDescent="0.25">
      <c r="A96" s="277" t="s">
        <v>87</v>
      </c>
      <c r="B96" s="403" t="s">
        <v>155</v>
      </c>
      <c r="C96" s="404"/>
      <c r="D96" s="404"/>
      <c r="E96" s="404"/>
      <c r="F96" s="404"/>
      <c r="G96" s="404"/>
      <c r="H96" s="24"/>
      <c r="K96" s="308" t="s">
        <v>85</v>
      </c>
      <c r="L96" s="40"/>
      <c r="M96" s="1"/>
      <c r="T96"/>
      <c r="U96"/>
    </row>
    <row r="97" spans="1:21" ht="15" x14ac:dyDescent="0.25">
      <c r="A97" s="277" t="s">
        <v>110</v>
      </c>
      <c r="B97" s="236" t="s">
        <v>85</v>
      </c>
      <c r="C97" s="24"/>
      <c r="D97" s="24"/>
      <c r="E97" s="24"/>
      <c r="F97" s="24"/>
      <c r="G97" s="24"/>
      <c r="H97" s="24"/>
      <c r="K97" s="308" t="s">
        <v>85</v>
      </c>
      <c r="L97" s="40"/>
      <c r="M97" s="1"/>
      <c r="N97" s="23"/>
      <c r="O97" s="23"/>
      <c r="P97" s="23"/>
      <c r="Q97" s="23"/>
      <c r="R97" s="23"/>
      <c r="S97" s="23"/>
    </row>
    <row r="98" spans="1:21" ht="15" x14ac:dyDescent="0.25">
      <c r="A98" s="277" t="s">
        <v>138</v>
      </c>
      <c r="B98" s="236" t="s">
        <v>85</v>
      </c>
      <c r="C98" s="24"/>
      <c r="D98" s="24"/>
      <c r="E98" s="24"/>
      <c r="F98" s="24"/>
      <c r="G98" s="24"/>
      <c r="H98" s="24"/>
      <c r="K98" s="308" t="s">
        <v>85</v>
      </c>
      <c r="L98" s="40"/>
      <c r="M98" s="1"/>
    </row>
    <row r="99" spans="1:21" ht="15" x14ac:dyDescent="0.25">
      <c r="A99" s="277" t="s">
        <v>140</v>
      </c>
      <c r="B99" s="236" t="s">
        <v>85</v>
      </c>
      <c r="C99" s="24"/>
      <c r="D99" s="24"/>
      <c r="E99" s="24"/>
      <c r="F99" s="24"/>
      <c r="G99" s="24"/>
      <c r="H99" s="24"/>
      <c r="K99" s="308" t="s">
        <v>85</v>
      </c>
      <c r="L99" s="40"/>
      <c r="M99" s="1"/>
    </row>
    <row r="100" spans="1:21" ht="15" x14ac:dyDescent="0.25">
      <c r="A100" s="277" t="s">
        <v>142</v>
      </c>
      <c r="B100" s="236" t="s">
        <v>85</v>
      </c>
      <c r="C100" s="24"/>
      <c r="D100" s="24"/>
      <c r="E100" s="24"/>
      <c r="F100" s="24"/>
      <c r="G100" s="24"/>
      <c r="H100" s="24"/>
      <c r="K100" s="308" t="s">
        <v>85</v>
      </c>
      <c r="L100" s="40"/>
      <c r="M100" s="1"/>
    </row>
    <row r="101" spans="1:21" customFormat="1" ht="30" x14ac:dyDescent="0.25">
      <c r="A101" s="278" t="s">
        <v>144</v>
      </c>
      <c r="B101" s="236" t="str">
        <f>IF(B91=$N$5,"Yes","No")</f>
        <v>No</v>
      </c>
      <c r="C101" s="24"/>
      <c r="D101" s="24"/>
      <c r="E101" s="24"/>
      <c r="F101" s="24"/>
      <c r="G101" s="24"/>
      <c r="H101" s="231"/>
      <c r="I101" s="35"/>
      <c r="J101" s="2"/>
      <c r="K101" s="308" t="s">
        <v>85</v>
      </c>
      <c r="L101" s="40"/>
      <c r="M101" s="1"/>
      <c r="N101" s="2"/>
      <c r="O101" s="2"/>
      <c r="P101" s="2"/>
      <c r="Q101" s="2"/>
      <c r="R101" s="2"/>
      <c r="S101" s="2"/>
      <c r="T101" s="8"/>
      <c r="U101" s="8"/>
    </row>
    <row r="102" spans="1:21" ht="15" x14ac:dyDescent="0.25">
      <c r="A102" s="229" t="s">
        <v>121</v>
      </c>
      <c r="B102" s="403" t="s">
        <v>169</v>
      </c>
      <c r="C102" s="404"/>
      <c r="D102" s="404"/>
      <c r="E102" s="404"/>
      <c r="F102" s="404"/>
      <c r="G102" s="404"/>
      <c r="H102" s="24"/>
      <c r="J102" s="22"/>
      <c r="K102" s="308" t="s">
        <v>85</v>
      </c>
      <c r="L102" s="40"/>
      <c r="M102" s="1"/>
      <c r="N102" s="8"/>
      <c r="O102" s="8"/>
      <c r="P102" s="8"/>
      <c r="Q102" s="8"/>
      <c r="R102" s="8"/>
      <c r="S102" s="8"/>
    </row>
    <row r="103" spans="1:21" ht="15" thickBot="1" x14ac:dyDescent="0.25">
      <c r="A103" s="24"/>
      <c r="B103" s="236"/>
      <c r="C103" s="24"/>
      <c r="D103" s="24"/>
      <c r="E103" s="24"/>
      <c r="F103" s="24"/>
      <c r="G103" s="24"/>
      <c r="H103" s="24"/>
      <c r="K103" s="308" t="s">
        <v>85</v>
      </c>
      <c r="L103" s="40"/>
      <c r="M103" s="1"/>
    </row>
    <row r="104" spans="1:21" ht="15.75" thickBot="1" x14ac:dyDescent="0.3">
      <c r="A104" s="275" t="s">
        <v>173</v>
      </c>
      <c r="B104" s="401" t="s">
        <v>171</v>
      </c>
      <c r="C104" s="402"/>
      <c r="D104" s="402"/>
      <c r="E104" s="402"/>
      <c r="F104" s="402"/>
      <c r="G104" s="402"/>
      <c r="H104" s="402"/>
      <c r="K104" s="308" t="s">
        <v>85</v>
      </c>
      <c r="L104" s="40"/>
      <c r="M104" s="1"/>
    </row>
    <row r="105" spans="1:21" ht="15" x14ac:dyDescent="0.25">
      <c r="A105" s="229" t="s">
        <v>87</v>
      </c>
      <c r="B105" s="236" t="s">
        <v>118</v>
      </c>
      <c r="C105" s="24"/>
      <c r="D105" s="24"/>
      <c r="E105" s="24"/>
      <c r="F105" s="24"/>
      <c r="G105" s="24"/>
      <c r="H105" s="24"/>
      <c r="K105" s="308" t="s">
        <v>85</v>
      </c>
      <c r="L105" s="40"/>
      <c r="M105" s="1"/>
    </row>
    <row r="106" spans="1:21" ht="15" x14ac:dyDescent="0.25">
      <c r="A106" s="229"/>
      <c r="B106" s="240" t="str">
        <f>CONCATENATE($O$2&amp;": "&amp;VLOOKUP($B105,$N$4:$U$27,2,0))</f>
        <v>Font: Arial</v>
      </c>
      <c r="C106" s="21" t="str">
        <f>CONCATENATE($P$2&amp;": "&amp;VLOOKUP($B105,$N$4:$U$27,3,0))</f>
        <v>T-face: Normal</v>
      </c>
      <c r="D106" s="21" t="str">
        <f>CONCATENATE($Q$2&amp;": "&amp;VLOOKUP($B105,$N$4:$U$27,4,0))</f>
        <v>Font size: 11</v>
      </c>
      <c r="E106" s="21" t="str">
        <f>CONCATENATE($R$2&amp;": "&amp;VLOOKUP($B105,$N$4:$U$27,5,0))</f>
        <v>Row height: 15</v>
      </c>
      <c r="F106" s="21" t="str">
        <f>CONCATENATE($S$2&amp;": "&amp;VLOOKUP($B105,$N$4:$U$27,6,0))</f>
        <v>Text col: Black</v>
      </c>
      <c r="G106" s="21" t="str">
        <f>CONCATENATE($T$2&amp;": "&amp;VLOOKUP($B105,$N$4:$U$27,7,0))</f>
        <v>BG col: White</v>
      </c>
      <c r="H106" s="21" t="str">
        <f>CONCATENATE($U$2&amp;": "&amp;VLOOKUP($B105,$N$4:$U$27,8,0))</f>
        <v>Just: Left</v>
      </c>
      <c r="K106" s="308" t="s">
        <v>85</v>
      </c>
      <c r="L106" s="40"/>
      <c r="M106" s="1"/>
    </row>
    <row r="107" spans="1:21" ht="15" x14ac:dyDescent="0.25">
      <c r="A107" s="229" t="s">
        <v>99</v>
      </c>
      <c r="B107" s="236" t="s">
        <v>162</v>
      </c>
      <c r="C107" s="24"/>
      <c r="D107" s="24"/>
      <c r="E107" s="24"/>
      <c r="F107" s="24"/>
      <c r="G107" s="24"/>
      <c r="H107" s="24"/>
      <c r="K107" s="308" t="s">
        <v>85</v>
      </c>
      <c r="L107" s="40"/>
      <c r="M107" s="1"/>
    </row>
    <row r="108" spans="1:21" ht="15" x14ac:dyDescent="0.25">
      <c r="A108" s="229" t="s">
        <v>102</v>
      </c>
      <c r="B108" s="238" t="s">
        <v>174</v>
      </c>
      <c r="C108" s="39"/>
      <c r="D108" s="39"/>
      <c r="E108" s="39"/>
      <c r="F108" s="39"/>
      <c r="G108" s="39"/>
      <c r="H108" s="24"/>
      <c r="K108" s="308" t="s">
        <v>85</v>
      </c>
      <c r="L108" s="40"/>
      <c r="M108" s="1"/>
    </row>
    <row r="109" spans="1:21" ht="15" x14ac:dyDescent="0.25">
      <c r="A109" s="277" t="s">
        <v>104</v>
      </c>
      <c r="B109" s="236" t="s">
        <v>105</v>
      </c>
      <c r="C109" s="24"/>
      <c r="D109" s="24"/>
      <c r="E109" s="24"/>
      <c r="F109" s="24"/>
      <c r="G109" s="24"/>
      <c r="H109" s="24"/>
      <c r="K109" s="308" t="s">
        <v>85</v>
      </c>
      <c r="L109" s="40"/>
      <c r="M109" s="1"/>
    </row>
    <row r="110" spans="1:21" ht="15" x14ac:dyDescent="0.25">
      <c r="A110" s="277" t="s">
        <v>87</v>
      </c>
      <c r="B110" s="403" t="s">
        <v>155</v>
      </c>
      <c r="C110" s="404"/>
      <c r="D110" s="404"/>
      <c r="E110" s="404"/>
      <c r="F110" s="404"/>
      <c r="G110" s="404"/>
      <c r="H110" s="24"/>
      <c r="K110" s="308" t="s">
        <v>85</v>
      </c>
      <c r="L110" s="40"/>
      <c r="M110" s="1"/>
      <c r="T110"/>
      <c r="U110"/>
    </row>
    <row r="111" spans="1:21" ht="15" x14ac:dyDescent="0.25">
      <c r="A111" s="277" t="s">
        <v>110</v>
      </c>
      <c r="B111" s="236" t="s">
        <v>85</v>
      </c>
      <c r="C111" s="24"/>
      <c r="D111" s="24"/>
      <c r="E111" s="24"/>
      <c r="F111" s="24"/>
      <c r="G111" s="24"/>
      <c r="H111" s="24"/>
      <c r="K111" s="308" t="s">
        <v>85</v>
      </c>
      <c r="L111" s="40"/>
      <c r="M111" s="1"/>
      <c r="N111" s="23"/>
      <c r="O111" s="23"/>
      <c r="P111" s="23"/>
      <c r="Q111" s="23"/>
      <c r="R111" s="23"/>
      <c r="S111" s="23"/>
    </row>
    <row r="112" spans="1:21" ht="15" x14ac:dyDescent="0.25">
      <c r="A112" s="277" t="s">
        <v>138</v>
      </c>
      <c r="B112" s="236" t="s">
        <v>85</v>
      </c>
      <c r="C112" s="24"/>
      <c r="D112" s="24"/>
      <c r="E112" s="24"/>
      <c r="F112" s="24"/>
      <c r="G112" s="24"/>
      <c r="H112" s="24"/>
      <c r="K112" s="308" t="s">
        <v>85</v>
      </c>
      <c r="L112" s="40"/>
      <c r="M112" s="1"/>
    </row>
    <row r="113" spans="1:21" ht="15" x14ac:dyDescent="0.25">
      <c r="A113" s="277" t="s">
        <v>140</v>
      </c>
      <c r="B113" s="236" t="s">
        <v>85</v>
      </c>
      <c r="C113" s="24"/>
      <c r="D113" s="24"/>
      <c r="E113" s="24"/>
      <c r="F113" s="24"/>
      <c r="G113" s="24"/>
      <c r="H113" s="24"/>
      <c r="K113" s="308" t="s">
        <v>85</v>
      </c>
      <c r="L113" s="40"/>
      <c r="M113" s="1"/>
    </row>
    <row r="114" spans="1:21" ht="15" x14ac:dyDescent="0.25">
      <c r="A114" s="277" t="s">
        <v>142</v>
      </c>
      <c r="B114" s="236" t="s">
        <v>85</v>
      </c>
      <c r="C114" s="24"/>
      <c r="D114" s="24"/>
      <c r="E114" s="24"/>
      <c r="F114" s="24"/>
      <c r="G114" s="24"/>
      <c r="H114" s="24"/>
      <c r="K114" s="308" t="s">
        <v>85</v>
      </c>
      <c r="L114" s="40"/>
      <c r="M114" s="1"/>
    </row>
    <row r="115" spans="1:21" customFormat="1" ht="30" x14ac:dyDescent="0.25">
      <c r="A115" s="278" t="s">
        <v>144</v>
      </c>
      <c r="B115" s="236" t="str">
        <f>IF(B105=$N$5,"Yes","No")</f>
        <v>No</v>
      </c>
      <c r="C115" s="24"/>
      <c r="D115" s="24"/>
      <c r="E115" s="24"/>
      <c r="F115" s="24"/>
      <c r="G115" s="24"/>
      <c r="H115" s="231"/>
      <c r="I115" s="35"/>
      <c r="J115" s="2"/>
      <c r="K115" s="308" t="s">
        <v>85</v>
      </c>
      <c r="L115" s="40"/>
      <c r="M115" s="1"/>
      <c r="N115" s="2"/>
      <c r="O115" s="2"/>
      <c r="P115" s="2"/>
      <c r="Q115" s="2"/>
      <c r="R115" s="2"/>
      <c r="S115" s="2"/>
      <c r="T115" s="2"/>
      <c r="U115" s="2"/>
    </row>
    <row r="116" spans="1:21" ht="15" x14ac:dyDescent="0.25">
      <c r="A116" s="229" t="s">
        <v>121</v>
      </c>
      <c r="B116" s="403" t="s">
        <v>169</v>
      </c>
      <c r="C116" s="404"/>
      <c r="D116" s="404"/>
      <c r="E116" s="404"/>
      <c r="F116" s="404"/>
      <c r="G116" s="404"/>
      <c r="H116" s="24"/>
      <c r="J116" s="22"/>
      <c r="K116" s="308" t="s">
        <v>85</v>
      </c>
      <c r="L116" s="40"/>
      <c r="M116" s="1"/>
    </row>
    <row r="117" spans="1:21" ht="15" thickBot="1" x14ac:dyDescent="0.25">
      <c r="A117" s="24"/>
      <c r="B117" s="236"/>
      <c r="C117" s="24"/>
      <c r="D117" s="24"/>
      <c r="E117" s="24"/>
      <c r="F117" s="24"/>
      <c r="G117" s="24"/>
      <c r="H117" s="24"/>
      <c r="K117" s="308" t="s">
        <v>85</v>
      </c>
      <c r="L117" s="40"/>
      <c r="M117" s="1"/>
    </row>
    <row r="118" spans="1:21" ht="15.75" thickBot="1" x14ac:dyDescent="0.3">
      <c r="A118" s="275" t="s">
        <v>175</v>
      </c>
      <c r="B118" s="401" t="s">
        <v>176</v>
      </c>
      <c r="C118" s="402"/>
      <c r="D118" s="402"/>
      <c r="E118" s="402"/>
      <c r="F118" s="402"/>
      <c r="G118" s="402"/>
      <c r="H118" s="402"/>
      <c r="K118" s="308" t="s">
        <v>85</v>
      </c>
      <c r="L118" s="40"/>
      <c r="M118" s="1"/>
    </row>
    <row r="119" spans="1:21" ht="15" x14ac:dyDescent="0.25">
      <c r="A119" s="229" t="s">
        <v>87</v>
      </c>
      <c r="B119" s="236" t="s">
        <v>111</v>
      </c>
      <c r="C119" s="24"/>
      <c r="D119" s="24"/>
      <c r="E119" s="24"/>
      <c r="F119" s="24"/>
      <c r="G119" s="24"/>
      <c r="H119" s="24"/>
      <c r="K119" s="308" t="s">
        <v>85</v>
      </c>
      <c r="L119" s="40"/>
      <c r="M119" s="1"/>
    </row>
    <row r="120" spans="1:21" s="8" customFormat="1" ht="29.25" x14ac:dyDescent="0.25">
      <c r="A120" s="276"/>
      <c r="B120" s="237" t="str">
        <f>CONCATENATE($O$2&amp;": "&amp;VLOOKUP($B119,$N$4:$U$27,2,0))</f>
        <v>Font: Arial</v>
      </c>
      <c r="C120" s="19" t="str">
        <f>CONCATENATE($P$2&amp;": "&amp;VLOOKUP($B119,$N$4:$U$27,3,0))</f>
        <v>T-face: Normal</v>
      </c>
      <c r="D120" s="19" t="str">
        <f>CONCATENATE($Q$2&amp;": "&amp;VLOOKUP($B119,$N$4:$U$27,4,0))</f>
        <v>Font size: 11</v>
      </c>
      <c r="E120" s="19" t="str">
        <f>CONCATENATE($R$2&amp;": "&amp;VLOOKUP($B119,$N$4:$U$27,5,0))</f>
        <v>Row height: 25</v>
      </c>
      <c r="F120" s="19" t="str">
        <f>CONCATENATE($S$2&amp;": "&amp;VLOOKUP($B119,$N$4:$U$27,6,0))</f>
        <v>Text col: Black</v>
      </c>
      <c r="G120" s="19" t="str">
        <f>CONCATENATE($T$2&amp;": "&amp;VLOOKUP($B119,$N$4:$U$27,7,0))</f>
        <v>BG col: White</v>
      </c>
      <c r="H120" s="19" t="str">
        <f>CONCATENATE($U$2&amp;": "&amp;VLOOKUP($B119,$N$4:$U$27,8,0))</f>
        <v>Just: Left</v>
      </c>
      <c r="I120" s="37"/>
      <c r="J120" s="2"/>
      <c r="K120" s="308" t="s">
        <v>85</v>
      </c>
      <c r="L120" s="40"/>
      <c r="M120" s="1"/>
      <c r="N120" s="2"/>
      <c r="O120" s="2"/>
      <c r="P120" s="2"/>
      <c r="Q120" s="2"/>
      <c r="R120" s="2"/>
      <c r="S120" s="2"/>
      <c r="T120" s="2"/>
      <c r="U120" s="2"/>
    </row>
    <row r="121" spans="1:21" ht="15" x14ac:dyDescent="0.25">
      <c r="A121" s="229" t="s">
        <v>99</v>
      </c>
      <c r="B121" s="236" t="s">
        <v>162</v>
      </c>
      <c r="C121" s="24"/>
      <c r="D121" s="24"/>
      <c r="E121" s="24"/>
      <c r="F121" s="24"/>
      <c r="G121" s="24"/>
      <c r="H121" s="24"/>
      <c r="J121" s="8"/>
      <c r="K121" s="308" t="s">
        <v>85</v>
      </c>
      <c r="L121" s="40"/>
      <c r="M121" s="1"/>
    </row>
    <row r="122" spans="1:21" ht="15" x14ac:dyDescent="0.25">
      <c r="A122" s="229" t="s">
        <v>102</v>
      </c>
      <c r="B122" s="407" t="s">
        <v>177</v>
      </c>
      <c r="C122" s="408"/>
      <c r="D122" s="408"/>
      <c r="E122" s="408"/>
      <c r="F122" s="408"/>
      <c r="G122" s="408"/>
      <c r="H122" s="24"/>
      <c r="K122" s="308" t="s">
        <v>85</v>
      </c>
      <c r="L122" s="40"/>
      <c r="M122" s="1"/>
    </row>
    <row r="123" spans="1:21" ht="15" x14ac:dyDescent="0.25">
      <c r="A123" s="277" t="s">
        <v>104</v>
      </c>
      <c r="B123" s="236" t="s">
        <v>105</v>
      </c>
      <c r="C123" s="24"/>
      <c r="D123" s="24"/>
      <c r="E123" s="24"/>
      <c r="F123" s="24"/>
      <c r="G123" s="24"/>
      <c r="H123" s="24"/>
      <c r="K123" s="308" t="s">
        <v>85</v>
      </c>
      <c r="L123" s="40"/>
      <c r="M123" s="1"/>
    </row>
    <row r="124" spans="1:21" ht="15" x14ac:dyDescent="0.25">
      <c r="A124" s="277" t="s">
        <v>87</v>
      </c>
      <c r="B124" s="403" t="s">
        <v>155</v>
      </c>
      <c r="C124" s="404"/>
      <c r="D124" s="404"/>
      <c r="E124" s="404"/>
      <c r="F124" s="404"/>
      <c r="G124" s="404"/>
      <c r="H124" s="24"/>
      <c r="K124" s="308" t="s">
        <v>85</v>
      </c>
      <c r="L124" s="40"/>
      <c r="M124" s="1"/>
      <c r="T124"/>
      <c r="U124"/>
    </row>
    <row r="125" spans="1:21" ht="15" x14ac:dyDescent="0.25">
      <c r="A125" s="277" t="s">
        <v>110</v>
      </c>
      <c r="B125" s="236" t="s">
        <v>85</v>
      </c>
      <c r="C125" s="24"/>
      <c r="D125" s="24"/>
      <c r="E125" s="24"/>
      <c r="F125" s="24"/>
      <c r="G125" s="24"/>
      <c r="H125" s="24"/>
      <c r="K125" s="308" t="s">
        <v>85</v>
      </c>
      <c r="L125" s="40"/>
      <c r="M125" s="1"/>
      <c r="N125" s="23"/>
      <c r="O125" s="23"/>
      <c r="P125" s="23"/>
      <c r="Q125" s="23"/>
      <c r="R125" s="23"/>
      <c r="S125" s="23"/>
    </row>
    <row r="126" spans="1:21" ht="15" x14ac:dyDescent="0.25">
      <c r="A126" s="277" t="s">
        <v>138</v>
      </c>
      <c r="B126" s="236" t="s">
        <v>85</v>
      </c>
      <c r="C126" s="24"/>
      <c r="D126" s="24"/>
      <c r="E126" s="24"/>
      <c r="F126" s="24"/>
      <c r="G126" s="24"/>
      <c r="H126" s="24"/>
      <c r="K126" s="308" t="s">
        <v>85</v>
      </c>
      <c r="L126" s="40"/>
      <c r="M126" s="1"/>
    </row>
    <row r="127" spans="1:21" ht="15" x14ac:dyDescent="0.25">
      <c r="A127" s="277" t="s">
        <v>140</v>
      </c>
      <c r="B127" s="236" t="s">
        <v>85</v>
      </c>
      <c r="C127" s="24"/>
      <c r="D127" s="24"/>
      <c r="E127" s="24"/>
      <c r="F127" s="24"/>
      <c r="G127" s="24"/>
      <c r="H127" s="24"/>
      <c r="K127" s="308" t="s">
        <v>85</v>
      </c>
      <c r="L127" s="40"/>
      <c r="M127" s="1"/>
    </row>
    <row r="128" spans="1:21" ht="15" x14ac:dyDescent="0.25">
      <c r="A128" s="277" t="s">
        <v>142</v>
      </c>
      <c r="B128" s="236" t="s">
        <v>85</v>
      </c>
      <c r="C128" s="24"/>
      <c r="D128" s="24"/>
      <c r="E128" s="24"/>
      <c r="F128" s="24"/>
      <c r="G128" s="24"/>
      <c r="H128" s="24"/>
      <c r="K128" s="308" t="s">
        <v>85</v>
      </c>
      <c r="L128" s="40"/>
      <c r="M128" s="1"/>
    </row>
    <row r="129" spans="1:21" customFormat="1" ht="30" x14ac:dyDescent="0.25">
      <c r="A129" s="278" t="s">
        <v>144</v>
      </c>
      <c r="B129" s="236" t="str">
        <f>IF(B119=$N$5,"Yes","No")</f>
        <v>No</v>
      </c>
      <c r="C129" s="24"/>
      <c r="D129" s="24"/>
      <c r="E129" s="24"/>
      <c r="F129" s="24"/>
      <c r="G129" s="24"/>
      <c r="H129" s="231"/>
      <c r="I129" s="35"/>
      <c r="J129" s="2"/>
      <c r="K129" s="308" t="s">
        <v>85</v>
      </c>
      <c r="L129" s="40"/>
      <c r="M129" s="1"/>
      <c r="N129" s="2"/>
      <c r="O129" s="2"/>
      <c r="P129" s="2"/>
      <c r="Q129" s="2"/>
      <c r="R129" s="2"/>
      <c r="S129" s="2"/>
      <c r="T129" s="8"/>
      <c r="U129" s="8"/>
    </row>
    <row r="130" spans="1:21" ht="15" x14ac:dyDescent="0.25">
      <c r="A130" s="229" t="s">
        <v>121</v>
      </c>
      <c r="B130" s="403" t="s">
        <v>169</v>
      </c>
      <c r="C130" s="404"/>
      <c r="D130" s="404"/>
      <c r="E130" s="404"/>
      <c r="F130" s="404"/>
      <c r="G130" s="404"/>
      <c r="H130" s="24"/>
      <c r="J130" s="22"/>
      <c r="K130" s="308" t="s">
        <v>85</v>
      </c>
      <c r="L130" s="40"/>
      <c r="M130" s="1"/>
      <c r="N130" s="8"/>
      <c r="O130" s="8"/>
      <c r="P130" s="8"/>
      <c r="Q130" s="8"/>
      <c r="R130" s="8"/>
      <c r="S130" s="8"/>
    </row>
    <row r="131" spans="1:21" ht="15" thickBot="1" x14ac:dyDescent="0.25">
      <c r="A131" s="24"/>
      <c r="B131" s="236"/>
      <c r="C131" s="24"/>
      <c r="D131" s="24"/>
      <c r="E131" s="24"/>
      <c r="F131" s="24"/>
      <c r="G131" s="24"/>
      <c r="H131" s="24"/>
      <c r="K131" s="308" t="s">
        <v>85</v>
      </c>
      <c r="L131" s="40"/>
      <c r="M131" s="1"/>
    </row>
    <row r="132" spans="1:21" ht="15.75" thickBot="1" x14ac:dyDescent="0.3">
      <c r="A132" s="275" t="s">
        <v>178</v>
      </c>
      <c r="B132" s="401" t="s">
        <v>179</v>
      </c>
      <c r="C132" s="402"/>
      <c r="D132" s="402"/>
      <c r="E132" s="402"/>
      <c r="F132" s="402"/>
      <c r="G132" s="402"/>
      <c r="H132" s="402"/>
      <c r="K132" s="308" t="s">
        <v>85</v>
      </c>
      <c r="L132" s="40"/>
      <c r="M132" s="1"/>
    </row>
    <row r="133" spans="1:21" ht="15" x14ac:dyDescent="0.25">
      <c r="A133" s="229" t="s">
        <v>87</v>
      </c>
      <c r="B133" s="236" t="s">
        <v>107</v>
      </c>
      <c r="C133" s="24"/>
      <c r="D133" s="24"/>
      <c r="E133" s="24"/>
      <c r="F133" s="24"/>
      <c r="G133" s="24"/>
      <c r="H133" s="24"/>
      <c r="K133" s="308" t="s">
        <v>85</v>
      </c>
      <c r="L133" s="40"/>
      <c r="M133" s="1"/>
    </row>
    <row r="134" spans="1:21" ht="15" x14ac:dyDescent="0.25">
      <c r="A134" s="229"/>
      <c r="B134" s="240" t="str">
        <f>CONCATENATE($O$2&amp;": "&amp;VLOOKUP($B133,$N$4:$U$27,2,0))</f>
        <v>Font: Arial</v>
      </c>
      <c r="C134" s="21" t="str">
        <f>CONCATENATE($P$2&amp;": "&amp;VLOOKUP($B133,$N$4:$U$27,3,0))</f>
        <v>T-face: Underlined</v>
      </c>
      <c r="D134" s="21" t="str">
        <f>CONCATENATE($Q$2&amp;": "&amp;VLOOKUP($B133,$N$4:$U$27,4,0))</f>
        <v>Font size: 11</v>
      </c>
      <c r="E134" s="21" t="str">
        <f>CONCATENATE($R$2&amp;": "&amp;VLOOKUP($B133,$N$4:$U$27,5,0))</f>
        <v>Row height: 15</v>
      </c>
      <c r="F134" s="21" t="str">
        <f>CONCATENATE($S$2&amp;": "&amp;VLOOKUP($B133,$N$4:$U$27,6,0))</f>
        <v>Text col: Blue</v>
      </c>
      <c r="G134" s="21" t="str">
        <f>CONCATENATE($T$2&amp;": "&amp;VLOOKUP($B133,$N$4:$U$27,7,0))</f>
        <v>BG col: White</v>
      </c>
      <c r="H134" s="21" t="str">
        <f>CONCATENATE($U$2&amp;": "&amp;VLOOKUP($B133,$N$4:$U$27,8,0))</f>
        <v>Just: Left</v>
      </c>
      <c r="K134" s="308" t="s">
        <v>85</v>
      </c>
      <c r="L134" s="40"/>
      <c r="M134" s="1"/>
    </row>
    <row r="135" spans="1:21" ht="15" x14ac:dyDescent="0.25">
      <c r="A135" s="229" t="s">
        <v>99</v>
      </c>
      <c r="B135" s="241" t="s">
        <v>2</v>
      </c>
      <c r="C135" s="24"/>
      <c r="D135" s="24"/>
      <c r="E135" s="24"/>
      <c r="F135" s="24"/>
      <c r="G135" s="24"/>
      <c r="H135" s="24"/>
      <c r="K135" s="308" t="s">
        <v>85</v>
      </c>
      <c r="L135" s="40"/>
      <c r="M135" s="1"/>
    </row>
    <row r="136" spans="1:21" ht="15" x14ac:dyDescent="0.25">
      <c r="A136" s="229" t="s">
        <v>102</v>
      </c>
      <c r="B136" s="236" t="s">
        <v>180</v>
      </c>
      <c r="C136" s="24"/>
      <c r="D136" s="24"/>
      <c r="E136" s="24"/>
      <c r="F136" s="24"/>
      <c r="G136" s="24"/>
      <c r="H136" s="24"/>
      <c r="K136" s="308" t="s">
        <v>85</v>
      </c>
      <c r="L136" s="40"/>
      <c r="M136" s="1"/>
    </row>
    <row r="137" spans="1:21" ht="15" x14ac:dyDescent="0.25">
      <c r="A137" s="277" t="s">
        <v>104</v>
      </c>
      <c r="B137" s="236" t="s">
        <v>105</v>
      </c>
      <c r="C137" s="24"/>
      <c r="D137" s="24"/>
      <c r="E137" s="24"/>
      <c r="F137" s="24"/>
      <c r="G137" s="24"/>
      <c r="H137" s="24"/>
      <c r="K137" s="308" t="s">
        <v>85</v>
      </c>
      <c r="L137" s="40"/>
      <c r="M137" s="1"/>
    </row>
    <row r="138" spans="1:21" ht="15" x14ac:dyDescent="0.25">
      <c r="A138" s="277" t="s">
        <v>87</v>
      </c>
      <c r="B138" s="403" t="s">
        <v>107</v>
      </c>
      <c r="C138" s="404"/>
      <c r="D138" s="404"/>
      <c r="E138" s="404"/>
      <c r="F138" s="404"/>
      <c r="G138" s="404"/>
      <c r="H138" s="24"/>
      <c r="K138" s="308" t="s">
        <v>85</v>
      </c>
      <c r="L138" s="40"/>
      <c r="M138" s="1"/>
      <c r="T138"/>
      <c r="U138"/>
    </row>
    <row r="139" spans="1:21" ht="15" x14ac:dyDescent="0.25">
      <c r="A139" s="277" t="s">
        <v>110</v>
      </c>
      <c r="B139" s="236" t="s">
        <v>85</v>
      </c>
      <c r="C139" s="24"/>
      <c r="D139" s="24"/>
      <c r="E139" s="24"/>
      <c r="F139" s="24"/>
      <c r="G139" s="24"/>
      <c r="H139" s="24"/>
      <c r="K139" s="308" t="s">
        <v>85</v>
      </c>
      <c r="L139" s="40"/>
      <c r="M139" s="1"/>
      <c r="N139" s="23"/>
      <c r="O139" s="23"/>
      <c r="P139" s="23"/>
      <c r="Q139" s="23"/>
      <c r="R139" s="23"/>
      <c r="S139" s="23"/>
    </row>
    <row r="140" spans="1:21" ht="15" x14ac:dyDescent="0.25">
      <c r="A140" s="277" t="s">
        <v>138</v>
      </c>
      <c r="B140" s="236" t="s">
        <v>85</v>
      </c>
      <c r="C140" s="24"/>
      <c r="D140" s="24"/>
      <c r="E140" s="24"/>
      <c r="F140" s="24"/>
      <c r="G140" s="24"/>
      <c r="H140" s="24"/>
      <c r="K140" s="308" t="s">
        <v>85</v>
      </c>
      <c r="L140" s="40"/>
      <c r="M140" s="1"/>
    </row>
    <row r="141" spans="1:21" ht="15" x14ac:dyDescent="0.25">
      <c r="A141" s="277" t="s">
        <v>140</v>
      </c>
      <c r="B141" s="236" t="s">
        <v>85</v>
      </c>
      <c r="C141" s="24"/>
      <c r="D141" s="24"/>
      <c r="E141" s="24"/>
      <c r="F141" s="24"/>
      <c r="G141" s="24"/>
      <c r="H141" s="24"/>
      <c r="K141" s="308" t="s">
        <v>85</v>
      </c>
      <c r="L141" s="40"/>
      <c r="M141" s="1"/>
    </row>
    <row r="142" spans="1:21" ht="15" x14ac:dyDescent="0.25">
      <c r="A142" s="277" t="s">
        <v>142</v>
      </c>
      <c r="B142" s="236" t="s">
        <v>85</v>
      </c>
      <c r="C142" s="24"/>
      <c r="D142" s="24"/>
      <c r="E142" s="24"/>
      <c r="F142" s="24"/>
      <c r="G142" s="24"/>
      <c r="H142" s="24"/>
      <c r="K142" s="308" t="s">
        <v>85</v>
      </c>
      <c r="L142" s="40"/>
      <c r="M142" s="1"/>
    </row>
    <row r="143" spans="1:21" customFormat="1" ht="30" x14ac:dyDescent="0.25">
      <c r="A143" s="278" t="s">
        <v>144</v>
      </c>
      <c r="B143" s="236" t="str">
        <f>IF(B133=$N$5,"Yes","No")</f>
        <v>No</v>
      </c>
      <c r="C143" s="24"/>
      <c r="D143" s="24"/>
      <c r="E143" s="24"/>
      <c r="F143" s="24"/>
      <c r="G143" s="24"/>
      <c r="H143" s="231"/>
      <c r="I143" s="35"/>
      <c r="J143" s="2"/>
      <c r="K143" s="308" t="s">
        <v>85</v>
      </c>
      <c r="L143" s="40"/>
      <c r="M143" s="1"/>
      <c r="N143" s="2"/>
      <c r="O143" s="2"/>
      <c r="P143" s="2"/>
      <c r="Q143" s="2"/>
      <c r="R143" s="2"/>
      <c r="S143" s="2"/>
      <c r="T143" s="2"/>
      <c r="U143" s="2"/>
    </row>
    <row r="144" spans="1:21" ht="15" x14ac:dyDescent="0.25">
      <c r="A144" s="229" t="s">
        <v>121</v>
      </c>
      <c r="B144" s="403" t="s">
        <v>181</v>
      </c>
      <c r="C144" s="404"/>
      <c r="D144" s="404"/>
      <c r="E144" s="404"/>
      <c r="F144" s="404"/>
      <c r="G144" s="404"/>
      <c r="H144" s="24"/>
      <c r="J144" s="22"/>
      <c r="K144" s="308" t="s">
        <v>85</v>
      </c>
      <c r="L144" s="40"/>
      <c r="M144" s="1"/>
    </row>
    <row r="145" spans="1:21" ht="15" thickBot="1" x14ac:dyDescent="0.25">
      <c r="A145" s="24"/>
      <c r="B145" s="236"/>
      <c r="C145" s="24"/>
      <c r="D145" s="24"/>
      <c r="E145" s="24"/>
      <c r="F145" s="24"/>
      <c r="G145" s="24"/>
      <c r="H145" s="24"/>
      <c r="K145" s="308" t="s">
        <v>85</v>
      </c>
      <c r="L145" s="40"/>
      <c r="M145" s="1"/>
    </row>
    <row r="146" spans="1:21" ht="15.75" thickBot="1" x14ac:dyDescent="0.3">
      <c r="A146" s="275" t="s">
        <v>182</v>
      </c>
      <c r="B146" s="401" t="s">
        <v>179</v>
      </c>
      <c r="C146" s="402"/>
      <c r="D146" s="402"/>
      <c r="E146" s="402"/>
      <c r="F146" s="402"/>
      <c r="G146" s="402"/>
      <c r="H146" s="402"/>
      <c r="K146" s="308" t="s">
        <v>85</v>
      </c>
      <c r="L146" s="40"/>
      <c r="M146" s="1"/>
    </row>
    <row r="147" spans="1:21" ht="15" x14ac:dyDescent="0.25">
      <c r="A147" s="229" t="s">
        <v>87</v>
      </c>
      <c r="B147" s="236" t="s">
        <v>107</v>
      </c>
      <c r="C147" s="24"/>
      <c r="D147" s="24"/>
      <c r="E147" s="24"/>
      <c r="F147" s="24"/>
      <c r="G147" s="24"/>
      <c r="H147" s="24"/>
      <c r="K147" s="308" t="s">
        <v>85</v>
      </c>
      <c r="L147" s="40"/>
      <c r="M147" s="1"/>
    </row>
    <row r="148" spans="1:21" s="8" customFormat="1" ht="29.25" x14ac:dyDescent="0.25">
      <c r="A148" s="276"/>
      <c r="B148" s="237" t="str">
        <f>CONCATENATE($O$2&amp;": "&amp;VLOOKUP($B147,$N$4:$U$27,2,0))</f>
        <v>Font: Arial</v>
      </c>
      <c r="C148" s="19" t="str">
        <f>CONCATENATE($P$2&amp;": "&amp;VLOOKUP($B147,$N$4:$U$27,3,0))</f>
        <v>T-face: Underlined</v>
      </c>
      <c r="D148" s="19" t="str">
        <f>CONCATENATE($Q$2&amp;": "&amp;VLOOKUP($B147,$N$4:$U$27,4,0))</f>
        <v>Font size: 11</v>
      </c>
      <c r="E148" s="19" t="str">
        <f>CONCATENATE($R$2&amp;": "&amp;VLOOKUP($B147,$N$4:$U$27,5,0))</f>
        <v>Row height: 15</v>
      </c>
      <c r="F148" s="19" t="str">
        <f>CONCATENATE($S$2&amp;": "&amp;VLOOKUP($B147,$N$4:$U$27,6,0))</f>
        <v>Text col: Blue</v>
      </c>
      <c r="G148" s="19" t="str">
        <f>CONCATENATE($T$2&amp;": "&amp;VLOOKUP($B147,$N$4:$U$27,7,0))</f>
        <v>BG col: White</v>
      </c>
      <c r="H148" s="19" t="str">
        <f>CONCATENATE($U$2&amp;": "&amp;VLOOKUP($B147,$N$4:$U$27,8,0))</f>
        <v>Just: Left</v>
      </c>
      <c r="I148" s="37"/>
      <c r="J148" s="2"/>
      <c r="K148" s="308" t="s">
        <v>85</v>
      </c>
      <c r="L148" s="40"/>
      <c r="M148" s="1"/>
      <c r="N148" s="2"/>
      <c r="O148" s="2"/>
      <c r="P148" s="2"/>
      <c r="Q148" s="2"/>
      <c r="R148" s="2"/>
      <c r="S148" s="2"/>
      <c r="T148" s="2"/>
      <c r="U148" s="2"/>
    </row>
    <row r="149" spans="1:21" ht="15" x14ac:dyDescent="0.25">
      <c r="A149" s="229" t="s">
        <v>99</v>
      </c>
      <c r="B149" s="236" t="s">
        <v>183</v>
      </c>
      <c r="C149" s="24"/>
      <c r="D149" s="24"/>
      <c r="E149" s="24"/>
      <c r="F149" s="24"/>
      <c r="G149" s="24"/>
      <c r="H149" s="24"/>
      <c r="J149" s="8"/>
      <c r="K149" s="308" t="s">
        <v>85</v>
      </c>
      <c r="L149" s="40"/>
      <c r="M149" s="1"/>
    </row>
    <row r="150" spans="1:21" ht="15" x14ac:dyDescent="0.25">
      <c r="A150" s="229" t="s">
        <v>102</v>
      </c>
      <c r="B150" s="241" t="s">
        <v>3</v>
      </c>
      <c r="C150" s="24"/>
      <c r="D150" s="24"/>
      <c r="E150" s="24"/>
      <c r="F150" s="24"/>
      <c r="G150" s="24"/>
      <c r="H150" s="24"/>
      <c r="K150" s="308" t="s">
        <v>85</v>
      </c>
      <c r="L150" s="40"/>
      <c r="M150" s="1"/>
    </row>
    <row r="151" spans="1:21" ht="15" x14ac:dyDescent="0.25">
      <c r="A151" s="277" t="s">
        <v>104</v>
      </c>
      <c r="B151" s="236" t="s">
        <v>105</v>
      </c>
      <c r="C151" s="24"/>
      <c r="D151" s="24"/>
      <c r="E151" s="24"/>
      <c r="F151" s="24"/>
      <c r="G151" s="24"/>
      <c r="H151" s="24"/>
      <c r="K151" s="308" t="s">
        <v>85</v>
      </c>
      <c r="L151" s="40"/>
      <c r="M151" s="1"/>
    </row>
    <row r="152" spans="1:21" ht="15" x14ac:dyDescent="0.25">
      <c r="A152" s="277" t="s">
        <v>87</v>
      </c>
      <c r="B152" s="403" t="s">
        <v>107</v>
      </c>
      <c r="C152" s="404"/>
      <c r="D152" s="404"/>
      <c r="E152" s="404"/>
      <c r="F152" s="404"/>
      <c r="G152" s="404"/>
      <c r="H152" s="24"/>
      <c r="K152" s="308" t="s">
        <v>85</v>
      </c>
      <c r="L152" s="40"/>
      <c r="M152" s="1"/>
      <c r="T152"/>
      <c r="U152"/>
    </row>
    <row r="153" spans="1:21" ht="15" x14ac:dyDescent="0.25">
      <c r="A153" s="277" t="s">
        <v>110</v>
      </c>
      <c r="B153" s="236" t="s">
        <v>85</v>
      </c>
      <c r="C153" s="24"/>
      <c r="D153" s="24"/>
      <c r="E153" s="24"/>
      <c r="F153" s="24"/>
      <c r="G153" s="24"/>
      <c r="H153" s="24"/>
      <c r="K153" s="308" t="s">
        <v>85</v>
      </c>
      <c r="L153" s="40"/>
      <c r="M153" s="1"/>
      <c r="N153" s="23"/>
      <c r="O153" s="23"/>
      <c r="P153" s="23"/>
      <c r="Q153" s="23"/>
      <c r="R153" s="23"/>
      <c r="S153" s="23"/>
    </row>
    <row r="154" spans="1:21" ht="15" x14ac:dyDescent="0.25">
      <c r="A154" s="277" t="s">
        <v>138</v>
      </c>
      <c r="B154" s="236" t="s">
        <v>85</v>
      </c>
      <c r="C154" s="24"/>
      <c r="D154" s="24"/>
      <c r="E154" s="24"/>
      <c r="F154" s="24"/>
      <c r="G154" s="24"/>
      <c r="H154" s="24"/>
      <c r="K154" s="308" t="s">
        <v>85</v>
      </c>
      <c r="L154" s="40"/>
      <c r="M154" s="1"/>
    </row>
    <row r="155" spans="1:21" ht="15" x14ac:dyDescent="0.25">
      <c r="A155" s="277" t="s">
        <v>140</v>
      </c>
      <c r="B155" s="236" t="s">
        <v>85</v>
      </c>
      <c r="C155" s="24"/>
      <c r="D155" s="24"/>
      <c r="E155" s="24"/>
      <c r="F155" s="24"/>
      <c r="G155" s="24"/>
      <c r="H155" s="24"/>
      <c r="K155" s="308" t="s">
        <v>85</v>
      </c>
      <c r="L155" s="40"/>
      <c r="M155" s="1"/>
    </row>
    <row r="156" spans="1:21" ht="15" x14ac:dyDescent="0.25">
      <c r="A156" s="277" t="s">
        <v>142</v>
      </c>
      <c r="B156" s="236" t="s">
        <v>85</v>
      </c>
      <c r="C156" s="24"/>
      <c r="D156" s="24"/>
      <c r="E156" s="24"/>
      <c r="F156" s="24"/>
      <c r="G156" s="24"/>
      <c r="H156" s="24"/>
      <c r="K156" s="308" t="s">
        <v>85</v>
      </c>
      <c r="L156" s="40"/>
      <c r="M156" s="1"/>
    </row>
    <row r="157" spans="1:21" customFormat="1" ht="30" x14ac:dyDescent="0.25">
      <c r="A157" s="278" t="s">
        <v>144</v>
      </c>
      <c r="B157" s="236" t="str">
        <f>IF(B147=$N$5,"Yes","No")</f>
        <v>No</v>
      </c>
      <c r="C157" s="24"/>
      <c r="D157" s="24"/>
      <c r="E157" s="24"/>
      <c r="F157" s="24"/>
      <c r="G157" s="24"/>
      <c r="H157" s="231"/>
      <c r="I157" s="35"/>
      <c r="J157" s="2"/>
      <c r="K157" s="308" t="s">
        <v>85</v>
      </c>
      <c r="L157" s="40"/>
      <c r="M157" s="1"/>
      <c r="N157" s="2"/>
      <c r="O157" s="2"/>
      <c r="P157" s="2"/>
      <c r="Q157" s="2"/>
      <c r="R157" s="2"/>
      <c r="S157" s="2"/>
      <c r="T157" s="8"/>
      <c r="U157" s="8"/>
    </row>
    <row r="158" spans="1:21" ht="27.6" customHeight="1" x14ac:dyDescent="0.25">
      <c r="A158" s="229" t="s">
        <v>121</v>
      </c>
      <c r="B158" s="403" t="s">
        <v>184</v>
      </c>
      <c r="C158" s="404"/>
      <c r="D158" s="404"/>
      <c r="E158" s="404"/>
      <c r="F158" s="404"/>
      <c r="G158" s="404"/>
      <c r="H158" s="24"/>
      <c r="J158" s="22"/>
      <c r="K158" s="308" t="s">
        <v>85</v>
      </c>
      <c r="L158" s="40"/>
      <c r="M158" s="1"/>
      <c r="N158" s="8"/>
      <c r="O158" s="8"/>
      <c r="P158" s="8"/>
      <c r="Q158" s="8"/>
      <c r="R158" s="8"/>
      <c r="S158" s="8"/>
    </row>
    <row r="159" spans="1:21" ht="15" thickBot="1" x14ac:dyDescent="0.25">
      <c r="A159" s="24"/>
      <c r="B159" s="236"/>
      <c r="C159" s="24"/>
      <c r="D159" s="24"/>
      <c r="E159" s="24"/>
      <c r="F159" s="24"/>
      <c r="G159" s="24"/>
      <c r="H159" s="24"/>
      <c r="K159" s="308" t="s">
        <v>85</v>
      </c>
      <c r="L159" s="40"/>
      <c r="M159" s="1"/>
    </row>
    <row r="160" spans="1:21" ht="15.75" thickBot="1" x14ac:dyDescent="0.3">
      <c r="A160" s="275" t="s">
        <v>185</v>
      </c>
      <c r="B160" s="401" t="s">
        <v>179</v>
      </c>
      <c r="C160" s="402"/>
      <c r="D160" s="402"/>
      <c r="E160" s="402"/>
      <c r="F160" s="402"/>
      <c r="G160" s="402"/>
      <c r="H160" s="402"/>
      <c r="K160" s="308" t="s">
        <v>85</v>
      </c>
      <c r="L160" s="40"/>
      <c r="M160" s="1"/>
    </row>
    <row r="161" spans="1:21" ht="15" x14ac:dyDescent="0.25">
      <c r="A161" s="229" t="s">
        <v>87</v>
      </c>
      <c r="B161" s="236" t="s">
        <v>107</v>
      </c>
      <c r="C161" s="24"/>
      <c r="D161" s="24"/>
      <c r="E161" s="24"/>
      <c r="F161" s="24"/>
      <c r="G161" s="24"/>
      <c r="H161" s="24"/>
      <c r="K161" s="308" t="s">
        <v>85</v>
      </c>
      <c r="L161" s="40"/>
      <c r="M161" s="1"/>
    </row>
    <row r="162" spans="1:21" s="8" customFormat="1" ht="29.25" x14ac:dyDescent="0.25">
      <c r="A162" s="276"/>
      <c r="B162" s="237" t="str">
        <f>CONCATENATE($O$2&amp;": "&amp;VLOOKUP($B161,$N$4:$U$27,2,0))</f>
        <v>Font: Arial</v>
      </c>
      <c r="C162" s="19" t="str">
        <f>CONCATENATE($P$2&amp;": "&amp;VLOOKUP($B161,$N$4:$U$27,3,0))</f>
        <v>T-face: Underlined</v>
      </c>
      <c r="D162" s="19" t="str">
        <f>CONCATENATE($Q$2&amp;": "&amp;VLOOKUP($B161,$N$4:$U$27,4,0))</f>
        <v>Font size: 11</v>
      </c>
      <c r="E162" s="19" t="str">
        <f>CONCATENATE($R$2&amp;": "&amp;VLOOKUP($B161,$N$4:$U$27,5,0))</f>
        <v>Row height: 15</v>
      </c>
      <c r="F162" s="19" t="str">
        <f>CONCATENATE($S$2&amp;": "&amp;VLOOKUP($B161,$N$4:$U$27,6,0))</f>
        <v>Text col: Blue</v>
      </c>
      <c r="G162" s="19" t="str">
        <f>CONCATENATE($T$2&amp;": "&amp;VLOOKUP($B161,$N$4:$U$27,7,0))</f>
        <v>BG col: White</v>
      </c>
      <c r="H162" s="19" t="str">
        <f>CONCATENATE($U$2&amp;": "&amp;VLOOKUP($B161,$N$4:$U$27,8,0))</f>
        <v>Just: Left</v>
      </c>
      <c r="I162" s="37"/>
      <c r="J162" s="2"/>
      <c r="K162" s="308" t="s">
        <v>85</v>
      </c>
      <c r="L162" s="40"/>
      <c r="M162" s="1"/>
      <c r="N162" s="2"/>
      <c r="O162" s="2"/>
      <c r="P162" s="2"/>
      <c r="Q162" s="2"/>
      <c r="R162" s="2"/>
      <c r="S162" s="2"/>
      <c r="T162" s="2"/>
      <c r="U162" s="2"/>
    </row>
    <row r="163" spans="1:21" ht="15" x14ac:dyDescent="0.25">
      <c r="A163" s="229" t="s">
        <v>99</v>
      </c>
      <c r="B163" s="236" t="s">
        <v>186</v>
      </c>
      <c r="C163" s="24"/>
      <c r="D163" s="24"/>
      <c r="E163" s="24"/>
      <c r="F163" s="24"/>
      <c r="G163" s="24"/>
      <c r="H163" s="24"/>
      <c r="J163" s="8"/>
      <c r="K163" s="308" t="s">
        <v>85</v>
      </c>
      <c r="L163" s="40"/>
      <c r="M163" s="1"/>
    </row>
    <row r="164" spans="1:21" ht="15" x14ac:dyDescent="0.25">
      <c r="A164" s="229" t="s">
        <v>102</v>
      </c>
      <c r="B164" s="241" t="s">
        <v>4</v>
      </c>
      <c r="C164" s="24"/>
      <c r="D164" s="24"/>
      <c r="E164" s="24"/>
      <c r="F164" s="24"/>
      <c r="G164" s="24"/>
      <c r="H164" s="24"/>
      <c r="K164" s="308" t="s">
        <v>85</v>
      </c>
      <c r="L164" s="40"/>
      <c r="M164" s="1"/>
    </row>
    <row r="165" spans="1:21" ht="15" x14ac:dyDescent="0.25">
      <c r="A165" s="277" t="s">
        <v>104</v>
      </c>
      <c r="B165" s="236" t="s">
        <v>105</v>
      </c>
      <c r="C165" s="24"/>
      <c r="D165" s="24"/>
      <c r="E165" s="24"/>
      <c r="F165" s="24"/>
      <c r="G165" s="24"/>
      <c r="H165" s="24"/>
      <c r="K165" s="308" t="s">
        <v>85</v>
      </c>
      <c r="L165" s="40"/>
      <c r="M165" s="1"/>
    </row>
    <row r="166" spans="1:21" ht="15" x14ac:dyDescent="0.25">
      <c r="A166" s="277" t="s">
        <v>87</v>
      </c>
      <c r="B166" s="403" t="s">
        <v>107</v>
      </c>
      <c r="C166" s="404"/>
      <c r="D166" s="404"/>
      <c r="E166" s="404"/>
      <c r="F166" s="404"/>
      <c r="G166" s="404"/>
      <c r="H166" s="24"/>
      <c r="K166" s="308" t="s">
        <v>85</v>
      </c>
      <c r="L166" s="40"/>
      <c r="M166" s="1"/>
      <c r="T166"/>
      <c r="U166"/>
    </row>
    <row r="167" spans="1:21" ht="15" x14ac:dyDescent="0.25">
      <c r="A167" s="277" t="s">
        <v>110</v>
      </c>
      <c r="B167" s="236" t="s">
        <v>85</v>
      </c>
      <c r="C167" s="24"/>
      <c r="D167" s="24"/>
      <c r="E167" s="24"/>
      <c r="F167" s="24"/>
      <c r="G167" s="24"/>
      <c r="H167" s="24"/>
      <c r="K167" s="308" t="s">
        <v>85</v>
      </c>
      <c r="L167" s="40"/>
      <c r="M167" s="1"/>
      <c r="N167" s="23"/>
      <c r="O167" s="23"/>
      <c r="P167" s="23"/>
      <c r="Q167" s="23"/>
      <c r="R167" s="23"/>
      <c r="S167" s="23"/>
    </row>
    <row r="168" spans="1:21" ht="15" x14ac:dyDescent="0.25">
      <c r="A168" s="277" t="s">
        <v>138</v>
      </c>
      <c r="B168" s="236" t="s">
        <v>85</v>
      </c>
      <c r="C168" s="24"/>
      <c r="D168" s="24"/>
      <c r="E168" s="24"/>
      <c r="F168" s="24"/>
      <c r="G168" s="24"/>
      <c r="H168" s="24"/>
      <c r="K168" s="308" t="s">
        <v>85</v>
      </c>
      <c r="L168" s="40"/>
      <c r="M168" s="1"/>
    </row>
    <row r="169" spans="1:21" ht="15" x14ac:dyDescent="0.25">
      <c r="A169" s="277" t="s">
        <v>140</v>
      </c>
      <c r="B169" s="236" t="s">
        <v>85</v>
      </c>
      <c r="C169" s="24"/>
      <c r="D169" s="24"/>
      <c r="E169" s="24"/>
      <c r="F169" s="24"/>
      <c r="G169" s="24"/>
      <c r="H169" s="24"/>
      <c r="K169" s="308" t="s">
        <v>85</v>
      </c>
      <c r="L169" s="40"/>
      <c r="M169" s="1"/>
    </row>
    <row r="170" spans="1:21" ht="15" x14ac:dyDescent="0.25">
      <c r="A170" s="277" t="s">
        <v>142</v>
      </c>
      <c r="B170" s="236" t="s">
        <v>85</v>
      </c>
      <c r="C170" s="24"/>
      <c r="D170" s="24"/>
      <c r="E170" s="24"/>
      <c r="F170" s="24"/>
      <c r="G170" s="24"/>
      <c r="H170" s="24"/>
      <c r="K170" s="308" t="s">
        <v>85</v>
      </c>
      <c r="L170" s="40"/>
      <c r="M170" s="1"/>
    </row>
    <row r="171" spans="1:21" customFormat="1" ht="30" x14ac:dyDescent="0.25">
      <c r="A171" s="278" t="s">
        <v>144</v>
      </c>
      <c r="B171" s="236" t="str">
        <f>IF(B161=$N$5,"Yes","No")</f>
        <v>No</v>
      </c>
      <c r="C171" s="24"/>
      <c r="D171" s="24"/>
      <c r="E171" s="24"/>
      <c r="F171" s="24"/>
      <c r="G171" s="24"/>
      <c r="H171" s="231"/>
      <c r="I171" s="35"/>
      <c r="J171" s="2"/>
      <c r="K171" s="308" t="s">
        <v>85</v>
      </c>
      <c r="L171" s="40"/>
      <c r="M171" s="1"/>
      <c r="N171" s="2"/>
      <c r="O171" s="2"/>
      <c r="P171" s="2"/>
      <c r="Q171" s="2"/>
      <c r="R171" s="2"/>
      <c r="S171" s="2"/>
      <c r="T171" s="8"/>
      <c r="U171" s="8"/>
    </row>
    <row r="172" spans="1:21" ht="28.5" customHeight="1" x14ac:dyDescent="0.25">
      <c r="A172" s="229" t="s">
        <v>121</v>
      </c>
      <c r="B172" s="403" t="s">
        <v>187</v>
      </c>
      <c r="C172" s="404"/>
      <c r="D172" s="404"/>
      <c r="E172" s="404"/>
      <c r="F172" s="404"/>
      <c r="G172" s="404"/>
      <c r="H172" s="24"/>
      <c r="J172" s="22"/>
      <c r="K172" s="308" t="s">
        <v>85</v>
      </c>
      <c r="L172" s="40"/>
      <c r="M172" s="1"/>
      <c r="N172" s="8"/>
      <c r="O172" s="8"/>
      <c r="P172" s="8"/>
      <c r="Q172" s="8"/>
      <c r="R172" s="8"/>
      <c r="S172" s="8"/>
    </row>
    <row r="173" spans="1:21" ht="15" thickBot="1" x14ac:dyDescent="0.25">
      <c r="A173" s="24"/>
      <c r="B173" s="236"/>
      <c r="C173" s="24"/>
      <c r="D173" s="24"/>
      <c r="E173" s="24"/>
      <c r="F173" s="24"/>
      <c r="G173" s="24"/>
      <c r="H173" s="24"/>
      <c r="K173" s="308" t="s">
        <v>85</v>
      </c>
      <c r="L173" s="40"/>
      <c r="M173" s="1"/>
    </row>
    <row r="174" spans="1:21" ht="15.75" thickBot="1" x14ac:dyDescent="0.3">
      <c r="A174" s="275" t="s">
        <v>188</v>
      </c>
      <c r="B174" s="401" t="s">
        <v>179</v>
      </c>
      <c r="C174" s="402"/>
      <c r="D174" s="402"/>
      <c r="E174" s="402"/>
      <c r="F174" s="402"/>
      <c r="G174" s="402"/>
      <c r="H174" s="402"/>
      <c r="K174" s="308" t="s">
        <v>85</v>
      </c>
      <c r="L174" s="40"/>
      <c r="M174" s="1"/>
    </row>
    <row r="175" spans="1:21" ht="15" x14ac:dyDescent="0.25">
      <c r="A175" s="229" t="s">
        <v>87</v>
      </c>
      <c r="B175" s="236" t="s">
        <v>107</v>
      </c>
      <c r="C175" s="24"/>
      <c r="D175" s="24"/>
      <c r="E175" s="24"/>
      <c r="F175" s="24"/>
      <c r="G175" s="24"/>
      <c r="H175" s="24"/>
      <c r="K175" s="308" t="s">
        <v>85</v>
      </c>
      <c r="L175" s="40"/>
      <c r="M175" s="1"/>
    </row>
    <row r="176" spans="1:21" s="8" customFormat="1" ht="29.25" x14ac:dyDescent="0.25">
      <c r="A176" s="276"/>
      <c r="B176" s="237" t="str">
        <f>CONCATENATE($O$2&amp;": "&amp;VLOOKUP($B175,$N$4:$U$27,2,0))</f>
        <v>Font: Arial</v>
      </c>
      <c r="C176" s="19" t="str">
        <f>CONCATENATE($P$2&amp;": "&amp;VLOOKUP($B175,$N$4:$U$27,3,0))</f>
        <v>T-face: Underlined</v>
      </c>
      <c r="D176" s="19" t="str">
        <f>CONCATENATE($Q$2&amp;": "&amp;VLOOKUP($B175,$N$4:$U$27,4,0))</f>
        <v>Font size: 11</v>
      </c>
      <c r="E176" s="19" t="str">
        <f>CONCATENATE($R$2&amp;": "&amp;VLOOKUP($B175,$N$4:$U$27,5,0))</f>
        <v>Row height: 15</v>
      </c>
      <c r="F176" s="19" t="str">
        <f>CONCATENATE($S$2&amp;": "&amp;VLOOKUP($B175,$N$4:$U$27,6,0))</f>
        <v>Text col: Blue</v>
      </c>
      <c r="G176" s="19" t="str">
        <f>CONCATENATE($T$2&amp;": "&amp;VLOOKUP($B175,$N$4:$U$27,7,0))</f>
        <v>BG col: White</v>
      </c>
      <c r="H176" s="19" t="str">
        <f>CONCATENATE($U$2&amp;": "&amp;VLOOKUP($B175,$N$4:$U$27,8,0))</f>
        <v>Just: Left</v>
      </c>
      <c r="I176" s="37"/>
      <c r="J176" s="2"/>
      <c r="K176" s="308" t="s">
        <v>85</v>
      </c>
      <c r="L176" s="40"/>
      <c r="M176" s="1"/>
      <c r="N176" s="2"/>
      <c r="O176" s="2"/>
      <c r="P176" s="2"/>
      <c r="Q176" s="2"/>
      <c r="R176" s="2"/>
      <c r="S176" s="2"/>
      <c r="T176" s="2"/>
      <c r="U176" s="2"/>
    </row>
    <row r="177" spans="1:21" ht="15" x14ac:dyDescent="0.25">
      <c r="A177" s="229" t="s">
        <v>99</v>
      </c>
      <c r="B177" s="236" t="s">
        <v>189</v>
      </c>
      <c r="C177" s="24"/>
      <c r="D177" s="24"/>
      <c r="E177" s="24"/>
      <c r="F177" s="24"/>
      <c r="G177" s="24"/>
      <c r="H177" s="24"/>
      <c r="J177" s="8"/>
      <c r="K177" s="308" t="s">
        <v>85</v>
      </c>
      <c r="L177" s="40"/>
      <c r="M177" s="1"/>
    </row>
    <row r="178" spans="1:21" ht="15" x14ac:dyDescent="0.25">
      <c r="A178" s="229" t="s">
        <v>102</v>
      </c>
      <c r="B178" s="241" t="s">
        <v>5</v>
      </c>
      <c r="C178" s="24"/>
      <c r="D178" s="24"/>
      <c r="E178" s="24"/>
      <c r="F178" s="24"/>
      <c r="G178" s="24"/>
      <c r="H178" s="24"/>
      <c r="K178" s="308" t="s">
        <v>85</v>
      </c>
      <c r="L178" s="40"/>
      <c r="M178" s="1"/>
    </row>
    <row r="179" spans="1:21" ht="15" x14ac:dyDescent="0.25">
      <c r="A179" s="277" t="s">
        <v>104</v>
      </c>
      <c r="B179" s="236" t="s">
        <v>105</v>
      </c>
      <c r="C179" s="24"/>
      <c r="D179" s="24"/>
      <c r="E179" s="24"/>
      <c r="F179" s="24"/>
      <c r="G179" s="24"/>
      <c r="H179" s="24"/>
      <c r="K179" s="308" t="s">
        <v>85</v>
      </c>
      <c r="L179" s="40"/>
      <c r="M179" s="1"/>
    </row>
    <row r="180" spans="1:21" ht="15" x14ac:dyDescent="0.25">
      <c r="A180" s="277" t="s">
        <v>87</v>
      </c>
      <c r="B180" s="403" t="s">
        <v>107</v>
      </c>
      <c r="C180" s="404"/>
      <c r="D180" s="404"/>
      <c r="E180" s="404"/>
      <c r="F180" s="404"/>
      <c r="G180" s="404"/>
      <c r="H180" s="24"/>
      <c r="K180" s="308" t="s">
        <v>85</v>
      </c>
      <c r="L180" s="40"/>
      <c r="M180" s="1"/>
      <c r="T180"/>
      <c r="U180"/>
    </row>
    <row r="181" spans="1:21" ht="15" x14ac:dyDescent="0.25">
      <c r="A181" s="277" t="s">
        <v>110</v>
      </c>
      <c r="B181" s="236" t="s">
        <v>85</v>
      </c>
      <c r="C181" s="24"/>
      <c r="D181" s="24"/>
      <c r="E181" s="24"/>
      <c r="F181" s="24"/>
      <c r="G181" s="24"/>
      <c r="H181" s="24"/>
      <c r="K181" s="308" t="s">
        <v>85</v>
      </c>
      <c r="L181" s="40"/>
      <c r="M181" s="1"/>
      <c r="N181" s="23"/>
      <c r="O181" s="23"/>
      <c r="P181" s="23"/>
      <c r="Q181" s="23"/>
      <c r="R181" s="23"/>
      <c r="S181" s="23"/>
    </row>
    <row r="182" spans="1:21" ht="15" x14ac:dyDescent="0.25">
      <c r="A182" s="277" t="s">
        <v>138</v>
      </c>
      <c r="B182" s="236" t="s">
        <v>85</v>
      </c>
      <c r="C182" s="24"/>
      <c r="D182" s="24"/>
      <c r="E182" s="24"/>
      <c r="F182" s="24"/>
      <c r="G182" s="24"/>
      <c r="H182" s="24"/>
      <c r="K182" s="308" t="s">
        <v>85</v>
      </c>
      <c r="L182" s="40"/>
      <c r="M182" s="1"/>
    </row>
    <row r="183" spans="1:21" ht="15" x14ac:dyDescent="0.25">
      <c r="A183" s="277" t="s">
        <v>140</v>
      </c>
      <c r="B183" s="236" t="s">
        <v>85</v>
      </c>
      <c r="C183" s="24"/>
      <c r="D183" s="24"/>
      <c r="E183" s="24"/>
      <c r="F183" s="24"/>
      <c r="G183" s="24"/>
      <c r="H183" s="24"/>
      <c r="K183" s="308" t="s">
        <v>85</v>
      </c>
      <c r="L183" s="40"/>
      <c r="M183" s="1"/>
    </row>
    <row r="184" spans="1:21" ht="15" x14ac:dyDescent="0.25">
      <c r="A184" s="277" t="s">
        <v>142</v>
      </c>
      <c r="B184" s="236" t="s">
        <v>85</v>
      </c>
      <c r="C184" s="24"/>
      <c r="D184" s="24"/>
      <c r="E184" s="24"/>
      <c r="F184" s="24"/>
      <c r="G184" s="24"/>
      <c r="H184" s="24"/>
      <c r="K184" s="308" t="s">
        <v>85</v>
      </c>
      <c r="L184" s="40"/>
      <c r="M184" s="1"/>
    </row>
    <row r="185" spans="1:21" customFormat="1" ht="30" x14ac:dyDescent="0.25">
      <c r="A185" s="278" t="s">
        <v>144</v>
      </c>
      <c r="B185" s="236" t="str">
        <f>IF(B175=$N$5,"Yes","No")</f>
        <v>No</v>
      </c>
      <c r="C185" s="24"/>
      <c r="D185" s="24"/>
      <c r="E185" s="24"/>
      <c r="F185" s="24"/>
      <c r="G185" s="24"/>
      <c r="H185" s="231"/>
      <c r="I185" s="35"/>
      <c r="J185" s="2"/>
      <c r="K185" s="308" t="s">
        <v>85</v>
      </c>
      <c r="L185" s="40"/>
      <c r="M185" s="1"/>
      <c r="N185" s="2"/>
      <c r="O185" s="2"/>
      <c r="P185" s="2"/>
      <c r="Q185" s="2"/>
      <c r="R185" s="2"/>
      <c r="S185" s="2"/>
      <c r="T185" s="8"/>
      <c r="U185" s="8"/>
    </row>
    <row r="186" spans="1:21" ht="15" x14ac:dyDescent="0.25">
      <c r="A186" s="229" t="s">
        <v>121</v>
      </c>
      <c r="B186" s="403" t="s">
        <v>190</v>
      </c>
      <c r="C186" s="404"/>
      <c r="D186" s="404"/>
      <c r="E186" s="404"/>
      <c r="F186" s="404"/>
      <c r="G186" s="404"/>
      <c r="H186" s="24"/>
      <c r="J186" s="22"/>
      <c r="K186" s="308" t="s">
        <v>85</v>
      </c>
      <c r="L186" s="40"/>
      <c r="M186" s="1"/>
      <c r="N186" s="8"/>
      <c r="O186" s="8"/>
      <c r="P186" s="8"/>
      <c r="Q186" s="8"/>
      <c r="R186" s="8"/>
      <c r="S186" s="8"/>
    </row>
    <row r="187" spans="1:21" ht="15" thickBot="1" x14ac:dyDescent="0.25">
      <c r="A187" s="24"/>
      <c r="B187" s="236"/>
      <c r="C187" s="24"/>
      <c r="D187" s="24"/>
      <c r="E187" s="24"/>
      <c r="F187" s="24"/>
      <c r="G187" s="24"/>
      <c r="H187" s="24"/>
      <c r="K187" s="308" t="s">
        <v>85</v>
      </c>
      <c r="L187" s="40"/>
      <c r="M187" s="1"/>
    </row>
    <row r="188" spans="1:21" ht="15.75" thickBot="1" x14ac:dyDescent="0.3">
      <c r="A188" s="275" t="s">
        <v>191</v>
      </c>
      <c r="B188" s="401" t="s">
        <v>192</v>
      </c>
      <c r="C188" s="402"/>
      <c r="D188" s="402"/>
      <c r="E188" s="402"/>
      <c r="F188" s="402"/>
      <c r="G188" s="402"/>
      <c r="H188" s="402"/>
      <c r="K188" s="308" t="s">
        <v>85</v>
      </c>
      <c r="L188" s="40"/>
      <c r="M188" s="1"/>
    </row>
    <row r="189" spans="1:21" ht="15" x14ac:dyDescent="0.25">
      <c r="A189" s="229" t="s">
        <v>87</v>
      </c>
      <c r="B189" s="236" t="s">
        <v>131</v>
      </c>
      <c r="C189" s="24"/>
      <c r="D189" s="24"/>
      <c r="E189" s="24"/>
      <c r="F189" s="24"/>
      <c r="G189" s="24"/>
      <c r="H189" s="24"/>
      <c r="K189" s="308" t="s">
        <v>85</v>
      </c>
      <c r="L189" s="40"/>
      <c r="M189" s="1"/>
    </row>
    <row r="190" spans="1:21" s="8" customFormat="1" ht="15" x14ac:dyDescent="0.25">
      <c r="A190" s="276"/>
      <c r="B190" s="237" t="str">
        <f>CONCATENATE($O$2&amp;": "&amp;VLOOKUP($B189,$N$4:$U$27,2,0))</f>
        <v>Font: Arial</v>
      </c>
      <c r="C190" s="19" t="str">
        <f>CONCATENATE($P$2&amp;": "&amp;VLOOKUP($B189,$N$4:$U$27,3,0))</f>
        <v>T-face: Bold</v>
      </c>
      <c r="D190" s="19" t="str">
        <f>CONCATENATE($Q$2&amp;": "&amp;VLOOKUP($B189,$N$4:$U$27,4,0))</f>
        <v>Font size: 16</v>
      </c>
      <c r="E190" s="19" t="str">
        <f>CONCATENATE($R$2&amp;": "&amp;VLOOKUP($B189,$N$4:$U$27,5,0))</f>
        <v>Row height: 40</v>
      </c>
      <c r="F190" s="19" t="str">
        <f>CONCATENATE($S$2&amp;": "&amp;VLOOKUP($B189,$N$4:$U$27,6,0))</f>
        <v>Text col: Blue</v>
      </c>
      <c r="G190" s="19" t="str">
        <f>CONCATENATE($T$2&amp;": "&amp;VLOOKUP($B189,$N$4:$U$27,7,0))</f>
        <v>BG col: White</v>
      </c>
      <c r="H190" s="19" t="str">
        <f>CONCATENATE($U$2&amp;": "&amp;VLOOKUP($B189,$N$4:$U$27,8,0))</f>
        <v>Just: Left</v>
      </c>
      <c r="I190" s="37"/>
      <c r="J190" s="2"/>
      <c r="K190" s="308" t="s">
        <v>85</v>
      </c>
      <c r="L190" s="40"/>
      <c r="M190" s="1"/>
      <c r="N190" s="2"/>
      <c r="O190" s="2"/>
      <c r="P190" s="2"/>
      <c r="Q190" s="2"/>
      <c r="R190" s="2"/>
      <c r="S190" s="2"/>
      <c r="T190" s="2"/>
      <c r="U190" s="2"/>
    </row>
    <row r="191" spans="1:21" ht="15" x14ac:dyDescent="0.25">
      <c r="A191" s="229" t="s">
        <v>99</v>
      </c>
      <c r="B191" s="236" t="s">
        <v>193</v>
      </c>
      <c r="C191" s="24"/>
      <c r="D191" s="24"/>
      <c r="E191" s="24"/>
      <c r="F191" s="24"/>
      <c r="G191" s="24"/>
      <c r="H191" s="24"/>
      <c r="J191" s="8"/>
      <c r="K191" s="308" t="s">
        <v>85</v>
      </c>
      <c r="L191" s="40"/>
      <c r="M191" s="1"/>
    </row>
    <row r="192" spans="1:21" ht="15" x14ac:dyDescent="0.25">
      <c r="A192" s="229" t="s">
        <v>102</v>
      </c>
      <c r="B192" s="238" t="s">
        <v>194</v>
      </c>
      <c r="C192" s="39"/>
      <c r="D192" s="39"/>
      <c r="E192" s="39"/>
      <c r="F192" s="39"/>
      <c r="G192" s="39"/>
      <c r="H192" s="24"/>
      <c r="K192" s="308" t="s">
        <v>151</v>
      </c>
      <c r="L192" s="40"/>
      <c r="M192" s="1"/>
    </row>
    <row r="193" spans="1:21" ht="15" x14ac:dyDescent="0.25">
      <c r="A193" s="277" t="s">
        <v>104</v>
      </c>
      <c r="B193" s="236" t="s">
        <v>105</v>
      </c>
      <c r="C193" s="24"/>
      <c r="D193" s="24"/>
      <c r="E193" s="24"/>
      <c r="F193" s="24"/>
      <c r="G193" s="24"/>
      <c r="H193" s="24"/>
      <c r="K193" s="308" t="s">
        <v>85</v>
      </c>
      <c r="L193" s="40"/>
      <c r="M193" s="1"/>
    </row>
    <row r="194" spans="1:21" ht="15" x14ac:dyDescent="0.25">
      <c r="A194" s="277" t="s">
        <v>87</v>
      </c>
      <c r="B194" s="403" t="s">
        <v>155</v>
      </c>
      <c r="C194" s="404"/>
      <c r="D194" s="404"/>
      <c r="E194" s="404"/>
      <c r="F194" s="404"/>
      <c r="G194" s="404"/>
      <c r="H194" s="24"/>
      <c r="K194" s="308" t="s">
        <v>85</v>
      </c>
      <c r="L194" s="40"/>
      <c r="M194" s="1"/>
      <c r="T194"/>
      <c r="U194"/>
    </row>
    <row r="195" spans="1:21" ht="15" x14ac:dyDescent="0.25">
      <c r="A195" s="277" t="s">
        <v>110</v>
      </c>
      <c r="B195" s="236" t="s">
        <v>85</v>
      </c>
      <c r="C195" s="24"/>
      <c r="D195" s="24"/>
      <c r="E195" s="24"/>
      <c r="F195" s="24"/>
      <c r="G195" s="24"/>
      <c r="H195" s="24"/>
      <c r="K195" s="308" t="s">
        <v>85</v>
      </c>
      <c r="L195" s="40"/>
      <c r="M195" s="1"/>
      <c r="N195" s="23"/>
      <c r="O195" s="23"/>
      <c r="P195" s="23"/>
      <c r="Q195" s="23"/>
      <c r="R195" s="23"/>
      <c r="S195" s="23"/>
    </row>
    <row r="196" spans="1:21" ht="15" x14ac:dyDescent="0.25">
      <c r="A196" s="277" t="s">
        <v>138</v>
      </c>
      <c r="B196" s="236" t="s">
        <v>85</v>
      </c>
      <c r="C196" s="24"/>
      <c r="D196" s="24"/>
      <c r="E196" s="24"/>
      <c r="F196" s="24"/>
      <c r="G196" s="24"/>
      <c r="H196" s="24"/>
      <c r="K196" s="308" t="s">
        <v>85</v>
      </c>
      <c r="L196" s="40"/>
      <c r="M196" s="1"/>
    </row>
    <row r="197" spans="1:21" ht="15" x14ac:dyDescent="0.25">
      <c r="A197" s="277" t="s">
        <v>140</v>
      </c>
      <c r="B197" s="236" t="s">
        <v>85</v>
      </c>
      <c r="C197" s="24"/>
      <c r="D197" s="24"/>
      <c r="E197" s="24"/>
      <c r="F197" s="24"/>
      <c r="G197" s="24"/>
      <c r="H197" s="24"/>
      <c r="K197" s="308" t="s">
        <v>85</v>
      </c>
      <c r="L197" s="40"/>
      <c r="M197" s="1"/>
    </row>
    <row r="198" spans="1:21" ht="15" x14ac:dyDescent="0.25">
      <c r="A198" s="277" t="s">
        <v>142</v>
      </c>
      <c r="B198" s="236" t="s">
        <v>85</v>
      </c>
      <c r="C198" s="24"/>
      <c r="D198" s="24"/>
      <c r="E198" s="24"/>
      <c r="F198" s="24"/>
      <c r="G198" s="24"/>
      <c r="H198" s="24"/>
      <c r="K198" s="308" t="s">
        <v>85</v>
      </c>
      <c r="L198" s="40"/>
      <c r="M198" s="1"/>
    </row>
    <row r="199" spans="1:21" customFormat="1" ht="30" x14ac:dyDescent="0.25">
      <c r="A199" s="278" t="s">
        <v>144</v>
      </c>
      <c r="B199" s="236" t="str">
        <f>IF(B189=$N$5,"Yes","No")</f>
        <v>No</v>
      </c>
      <c r="C199" s="24"/>
      <c r="D199" s="24"/>
      <c r="E199" s="24"/>
      <c r="F199" s="24"/>
      <c r="G199" s="24"/>
      <c r="H199" s="231"/>
      <c r="I199" s="35"/>
      <c r="J199" s="2"/>
      <c r="K199" s="308" t="s">
        <v>85</v>
      </c>
      <c r="L199" s="40"/>
      <c r="M199" s="1"/>
      <c r="N199" s="2"/>
      <c r="O199" s="2"/>
      <c r="P199" s="2"/>
      <c r="Q199" s="2"/>
      <c r="R199" s="2"/>
      <c r="S199" s="2"/>
      <c r="T199" s="8"/>
      <c r="U199" s="8"/>
    </row>
    <row r="200" spans="1:21" ht="15" x14ac:dyDescent="0.25">
      <c r="A200" s="229" t="s">
        <v>121</v>
      </c>
      <c r="B200" s="403" t="s">
        <v>169</v>
      </c>
      <c r="C200" s="404"/>
      <c r="D200" s="404"/>
      <c r="E200" s="404"/>
      <c r="F200" s="404"/>
      <c r="G200" s="404"/>
      <c r="H200" s="24"/>
      <c r="J200" s="22"/>
      <c r="K200" s="308" t="s">
        <v>85</v>
      </c>
      <c r="L200" s="40"/>
      <c r="M200" s="1"/>
      <c r="N200" s="8"/>
      <c r="O200" s="8"/>
      <c r="P200" s="8"/>
      <c r="Q200" s="8"/>
      <c r="R200" s="8"/>
      <c r="S200" s="8"/>
    </row>
    <row r="201" spans="1:21" ht="15" thickBot="1" x14ac:dyDescent="0.25">
      <c r="A201" s="24"/>
      <c r="B201" s="236"/>
      <c r="C201" s="24"/>
      <c r="D201" s="24"/>
      <c r="E201" s="24"/>
      <c r="F201" s="24"/>
      <c r="G201" s="24"/>
      <c r="H201" s="24"/>
      <c r="K201" s="308" t="s">
        <v>85</v>
      </c>
      <c r="L201" s="40"/>
      <c r="M201" s="1"/>
    </row>
    <row r="202" spans="1:21" ht="15.75" thickBot="1" x14ac:dyDescent="0.3">
      <c r="A202" s="275" t="s">
        <v>195</v>
      </c>
      <c r="B202" s="401" t="s">
        <v>196</v>
      </c>
      <c r="C202" s="402"/>
      <c r="D202" s="402"/>
      <c r="E202" s="402"/>
      <c r="F202" s="402"/>
      <c r="G202" s="402"/>
      <c r="H202" s="402"/>
      <c r="K202" s="308" t="s">
        <v>85</v>
      </c>
      <c r="L202" s="40"/>
      <c r="M202" s="1"/>
    </row>
    <row r="203" spans="1:21" ht="15" x14ac:dyDescent="0.25">
      <c r="A203" s="229" t="s">
        <v>87</v>
      </c>
      <c r="B203" s="236" t="s">
        <v>107</v>
      </c>
      <c r="C203" s="24"/>
      <c r="D203" s="24"/>
      <c r="E203" s="24"/>
      <c r="F203" s="24"/>
      <c r="G203" s="24"/>
      <c r="H203" s="24"/>
      <c r="K203" s="308" t="s">
        <v>85</v>
      </c>
      <c r="L203" s="40"/>
      <c r="M203" s="1"/>
    </row>
    <row r="204" spans="1:21" ht="15" x14ac:dyDescent="0.25">
      <c r="A204" s="229"/>
      <c r="B204" s="240" t="str">
        <f>CONCATENATE($O$2&amp;": "&amp;VLOOKUP($B203,$N$4:$U$27,2,0))</f>
        <v>Font: Arial</v>
      </c>
      <c r="C204" s="21" t="str">
        <f>CONCATENATE($P$2&amp;": "&amp;VLOOKUP($B203,$N$4:$U$27,3,0))</f>
        <v>T-face: Underlined</v>
      </c>
      <c r="D204" s="21" t="str">
        <f>CONCATENATE($Q$2&amp;": "&amp;VLOOKUP($B203,$N$4:$U$27,4,0))</f>
        <v>Font size: 11</v>
      </c>
      <c r="E204" s="21" t="str">
        <f>CONCATENATE($R$2&amp;": "&amp;VLOOKUP($B203,$N$4:$U$27,5,0))</f>
        <v>Row height: 15</v>
      </c>
      <c r="F204" s="21" t="str">
        <f>CONCATENATE($S$2&amp;": "&amp;VLOOKUP($B203,$N$4:$U$27,6,0))</f>
        <v>Text col: Blue</v>
      </c>
      <c r="G204" s="21" t="str">
        <f>CONCATENATE($T$2&amp;": "&amp;VLOOKUP($B203,$N$4:$U$27,7,0))</f>
        <v>BG col: White</v>
      </c>
      <c r="H204" s="21" t="str">
        <f>CONCATENATE($U$2&amp;": "&amp;VLOOKUP($B203,$N$4:$U$27,8,0))</f>
        <v>Just: Left</v>
      </c>
      <c r="K204" s="308" t="s">
        <v>85</v>
      </c>
      <c r="L204" s="40"/>
      <c r="M204" s="1"/>
    </row>
    <row r="205" spans="1:21" ht="15" x14ac:dyDescent="0.25">
      <c r="A205" s="229" t="s">
        <v>99</v>
      </c>
      <c r="B205" s="236" t="s">
        <v>197</v>
      </c>
      <c r="C205" s="24"/>
      <c r="D205" s="24"/>
      <c r="E205" s="24"/>
      <c r="F205" s="24"/>
      <c r="G205" s="24"/>
      <c r="H205" s="24"/>
      <c r="K205" s="308" t="s">
        <v>85</v>
      </c>
      <c r="L205" s="40"/>
      <c r="M205" s="1"/>
    </row>
    <row r="206" spans="1:21" ht="14.1" customHeight="1" x14ac:dyDescent="0.25">
      <c r="A206" s="229" t="s">
        <v>102</v>
      </c>
      <c r="B206" s="417" t="s">
        <v>198</v>
      </c>
      <c r="C206" s="417"/>
      <c r="D206" s="417"/>
      <c r="E206" s="417"/>
      <c r="F206" s="417"/>
      <c r="G206" s="417"/>
      <c r="H206" s="417"/>
      <c r="K206" s="308" t="s">
        <v>151</v>
      </c>
      <c r="L206" s="40"/>
      <c r="M206" s="1"/>
    </row>
    <row r="207" spans="1:21" ht="15" x14ac:dyDescent="0.25">
      <c r="A207" s="277" t="s">
        <v>104</v>
      </c>
      <c r="B207" s="236" t="s">
        <v>105</v>
      </c>
      <c r="C207" s="24"/>
      <c r="D207" s="24"/>
      <c r="E207" s="24"/>
      <c r="F207" s="24"/>
      <c r="G207" s="24"/>
      <c r="H207" s="24"/>
      <c r="K207" s="308" t="s">
        <v>85</v>
      </c>
      <c r="L207" s="40"/>
      <c r="M207" s="1"/>
    </row>
    <row r="208" spans="1:21" ht="15" x14ac:dyDescent="0.25">
      <c r="A208" s="277" t="s">
        <v>87</v>
      </c>
      <c r="B208" s="403" t="s">
        <v>155</v>
      </c>
      <c r="C208" s="404"/>
      <c r="D208" s="404"/>
      <c r="E208" s="404"/>
      <c r="F208" s="404"/>
      <c r="G208" s="404"/>
      <c r="H208" s="24"/>
      <c r="K208" s="308" t="s">
        <v>85</v>
      </c>
      <c r="L208" s="40"/>
      <c r="M208" s="1"/>
      <c r="T208"/>
      <c r="U208"/>
    </row>
    <row r="209" spans="1:21" ht="15" x14ac:dyDescent="0.25">
      <c r="A209" s="277" t="s">
        <v>110</v>
      </c>
      <c r="B209" s="236" t="s">
        <v>85</v>
      </c>
      <c r="C209" s="24"/>
      <c r="D209" s="24"/>
      <c r="E209" s="24"/>
      <c r="F209" s="24"/>
      <c r="G209" s="24"/>
      <c r="H209" s="24"/>
      <c r="K209" s="308" t="s">
        <v>85</v>
      </c>
      <c r="L209" s="40"/>
      <c r="M209" s="1"/>
      <c r="N209" s="23"/>
      <c r="O209" s="23"/>
      <c r="P209" s="23"/>
      <c r="Q209" s="23"/>
      <c r="R209" s="23"/>
      <c r="S209" s="23"/>
    </row>
    <row r="210" spans="1:21" ht="15" x14ac:dyDescent="0.25">
      <c r="A210" s="277" t="s">
        <v>138</v>
      </c>
      <c r="B210" s="236" t="s">
        <v>85</v>
      </c>
      <c r="C210" s="24"/>
      <c r="D210" s="24"/>
      <c r="E210" s="24"/>
      <c r="F210" s="24"/>
      <c r="G210" s="24"/>
      <c r="H210" s="24"/>
      <c r="K210" s="308" t="s">
        <v>85</v>
      </c>
      <c r="L210" s="40"/>
      <c r="M210" s="1"/>
    </row>
    <row r="211" spans="1:21" ht="15" x14ac:dyDescent="0.25">
      <c r="A211" s="277" t="s">
        <v>140</v>
      </c>
      <c r="B211" s="236" t="s">
        <v>85</v>
      </c>
      <c r="C211" s="24"/>
      <c r="D211" s="24"/>
      <c r="E211" s="24"/>
      <c r="F211" s="24"/>
      <c r="G211" s="24"/>
      <c r="H211" s="24"/>
      <c r="K211" s="308" t="s">
        <v>85</v>
      </c>
      <c r="L211" s="40"/>
      <c r="M211" s="1"/>
    </row>
    <row r="212" spans="1:21" ht="15" x14ac:dyDescent="0.25">
      <c r="A212" s="277" t="s">
        <v>142</v>
      </c>
      <c r="B212" s="236" t="s">
        <v>85</v>
      </c>
      <c r="C212" s="24"/>
      <c r="D212" s="24"/>
      <c r="E212" s="24"/>
      <c r="F212" s="24"/>
      <c r="G212" s="24"/>
      <c r="H212" s="24"/>
      <c r="K212" s="308" t="s">
        <v>85</v>
      </c>
      <c r="L212" s="40"/>
      <c r="M212" s="1"/>
    </row>
    <row r="213" spans="1:21" customFormat="1" ht="30" x14ac:dyDescent="0.25">
      <c r="A213" s="278" t="s">
        <v>144</v>
      </c>
      <c r="B213" s="236" t="str">
        <f>IF(B203=$N$5,"Yes","No")</f>
        <v>No</v>
      </c>
      <c r="C213" s="24"/>
      <c r="D213" s="24"/>
      <c r="E213" s="24"/>
      <c r="F213" s="24"/>
      <c r="G213" s="24"/>
      <c r="H213" s="231"/>
      <c r="I213" s="35"/>
      <c r="J213" s="2"/>
      <c r="K213" s="308" t="s">
        <v>85</v>
      </c>
      <c r="L213" s="40"/>
      <c r="M213" s="1"/>
      <c r="N213" s="2"/>
      <c r="O213" s="2"/>
      <c r="P213" s="2"/>
      <c r="Q213" s="2"/>
      <c r="R213" s="2"/>
      <c r="S213" s="2"/>
      <c r="T213" s="2"/>
      <c r="U213" s="2"/>
    </row>
    <row r="214" spans="1:21" ht="57.6" customHeight="1" x14ac:dyDescent="0.25">
      <c r="A214" s="229" t="s">
        <v>121</v>
      </c>
      <c r="B214" s="403" t="s">
        <v>199</v>
      </c>
      <c r="C214" s="404"/>
      <c r="D214" s="404"/>
      <c r="E214" s="404"/>
      <c r="F214" s="404"/>
      <c r="G214" s="404"/>
      <c r="H214" s="24"/>
      <c r="J214" s="22"/>
      <c r="K214" s="308" t="s">
        <v>151</v>
      </c>
      <c r="L214" s="40"/>
      <c r="M214" s="1"/>
    </row>
    <row r="215" spans="1:21" ht="15" thickBot="1" x14ac:dyDescent="0.25">
      <c r="A215" s="24"/>
      <c r="B215" s="236" t="s">
        <v>200</v>
      </c>
      <c r="C215" s="24"/>
      <c r="D215" s="24"/>
      <c r="E215" s="24"/>
      <c r="F215" s="24"/>
      <c r="G215" s="24"/>
      <c r="H215" s="24"/>
      <c r="K215" s="308" t="s">
        <v>85</v>
      </c>
      <c r="L215" s="40"/>
      <c r="M215" s="1"/>
    </row>
    <row r="216" spans="1:21" ht="15.75" thickBot="1" x14ac:dyDescent="0.3">
      <c r="A216" s="275" t="s">
        <v>201</v>
      </c>
      <c r="B216" s="401" t="s">
        <v>202</v>
      </c>
      <c r="C216" s="402"/>
      <c r="D216" s="402"/>
      <c r="E216" s="402"/>
      <c r="F216" s="402"/>
      <c r="G216" s="402"/>
      <c r="H216" s="402"/>
      <c r="K216" s="308" t="s">
        <v>85</v>
      </c>
      <c r="L216" s="40"/>
      <c r="M216" s="1"/>
    </row>
    <row r="217" spans="1:21" ht="15" x14ac:dyDescent="0.25">
      <c r="A217" s="229" t="s">
        <v>87</v>
      </c>
      <c r="B217" s="236" t="s">
        <v>120</v>
      </c>
      <c r="C217" s="24"/>
      <c r="D217" s="24"/>
      <c r="E217" s="24"/>
      <c r="F217" s="24"/>
      <c r="G217" s="24"/>
      <c r="H217" s="24"/>
      <c r="K217" s="308" t="s">
        <v>85</v>
      </c>
      <c r="L217" s="40"/>
      <c r="M217" s="1"/>
    </row>
    <row r="218" spans="1:21" s="8" customFormat="1" ht="29.25" x14ac:dyDescent="0.25">
      <c r="A218" s="276"/>
      <c r="B218" s="237" t="str">
        <f>CONCATENATE($O$2&amp;": "&amp;VLOOKUP($B217,$N$4:$U$27,2,0))</f>
        <v>Font: Arial</v>
      </c>
      <c r="C218" s="19" t="str">
        <f>CONCATENATE($P$2&amp;": "&amp;VLOOKUP($B217,$N$4:$U$27,3,0))</f>
        <v>T-face: Normal</v>
      </c>
      <c r="D218" s="19" t="str">
        <f>CONCATENATE($Q$2&amp;": "&amp;VLOOKUP($B217,$N$4:$U$27,4,0))</f>
        <v>Font size: 11</v>
      </c>
      <c r="E218" s="19" t="str">
        <f>CONCATENATE($R$2&amp;": "&amp;VLOOKUP($B217,$N$4:$U$27,5,0))</f>
        <v>Row height: 31.5</v>
      </c>
      <c r="F218" s="19" t="str">
        <f>CONCATENATE($S$2&amp;": "&amp;VLOOKUP($B217,$N$4:$U$27,6,0))</f>
        <v>Text col: Black</v>
      </c>
      <c r="G218" s="19" t="str">
        <f>CONCATENATE($T$2&amp;": "&amp;VLOOKUP($B217,$N$4:$U$27,7,0))</f>
        <v>BG col: White</v>
      </c>
      <c r="H218" s="19" t="str">
        <f>CONCATENATE($U$2&amp;": "&amp;VLOOKUP($B217,$N$4:$U$27,8,0))</f>
        <v>Just: Left</v>
      </c>
      <c r="I218" s="37"/>
      <c r="J218" s="2"/>
      <c r="K218" s="308" t="s">
        <v>85</v>
      </c>
      <c r="L218" s="40"/>
      <c r="M218" s="1"/>
      <c r="N218" s="2"/>
      <c r="O218" s="2"/>
      <c r="P218" s="2"/>
      <c r="Q218" s="2"/>
      <c r="R218" s="2"/>
      <c r="S218" s="2"/>
      <c r="T218" s="2"/>
      <c r="U218" s="2"/>
    </row>
    <row r="219" spans="1:21" ht="15" x14ac:dyDescent="0.25">
      <c r="A219" s="229" t="s">
        <v>99</v>
      </c>
      <c r="B219" s="236" t="s">
        <v>203</v>
      </c>
      <c r="C219" s="24"/>
      <c r="D219" s="24"/>
      <c r="E219" s="24"/>
      <c r="F219" s="24"/>
      <c r="G219" s="24"/>
      <c r="H219" s="24"/>
      <c r="J219" s="8"/>
      <c r="K219" s="308" t="s">
        <v>85</v>
      </c>
      <c r="L219" s="40"/>
      <c r="M219" s="1"/>
    </row>
    <row r="220" spans="1:21" ht="29.1" customHeight="1" x14ac:dyDescent="0.25">
      <c r="A220" s="229" t="s">
        <v>102</v>
      </c>
      <c r="B220" s="403" t="s">
        <v>204</v>
      </c>
      <c r="C220" s="404"/>
      <c r="D220" s="404"/>
      <c r="E220" s="404"/>
      <c r="F220" s="404"/>
      <c r="G220" s="404"/>
      <c r="H220" s="24"/>
      <c r="K220" s="308" t="s">
        <v>151</v>
      </c>
      <c r="L220" s="40"/>
      <c r="M220" s="1"/>
    </row>
    <row r="221" spans="1:21" ht="15" x14ac:dyDescent="0.25">
      <c r="A221" s="277" t="s">
        <v>104</v>
      </c>
      <c r="B221" s="236" t="s">
        <v>205</v>
      </c>
      <c r="C221" s="24"/>
      <c r="D221" s="24"/>
      <c r="E221" s="24"/>
      <c r="F221" s="24"/>
      <c r="G221" s="24"/>
      <c r="H221" s="24"/>
      <c r="K221" s="308" t="s">
        <v>85</v>
      </c>
      <c r="L221" s="40"/>
      <c r="M221" s="1"/>
    </row>
    <row r="222" spans="1:21" ht="15" x14ac:dyDescent="0.25">
      <c r="A222" s="277" t="s">
        <v>87</v>
      </c>
      <c r="B222" s="403" t="s">
        <v>155</v>
      </c>
      <c r="C222" s="404"/>
      <c r="D222" s="404"/>
      <c r="E222" s="404"/>
      <c r="F222" s="404"/>
      <c r="G222" s="404"/>
      <c r="H222" s="24"/>
      <c r="K222" s="308" t="s">
        <v>85</v>
      </c>
      <c r="L222" s="40"/>
      <c r="M222" s="1"/>
      <c r="T222"/>
      <c r="U222"/>
    </row>
    <row r="223" spans="1:21" ht="15" x14ac:dyDescent="0.25">
      <c r="A223" s="277" t="s">
        <v>110</v>
      </c>
      <c r="B223" s="236" t="s">
        <v>85</v>
      </c>
      <c r="C223" s="24"/>
      <c r="D223" s="24"/>
      <c r="E223" s="24"/>
      <c r="F223" s="24"/>
      <c r="G223" s="24"/>
      <c r="H223" s="24"/>
      <c r="K223" s="308" t="s">
        <v>85</v>
      </c>
      <c r="L223" s="40"/>
      <c r="M223" s="1"/>
      <c r="N223" s="23"/>
      <c r="O223" s="23"/>
      <c r="P223" s="23"/>
      <c r="Q223" s="23"/>
      <c r="R223" s="23"/>
      <c r="S223" s="23"/>
    </row>
    <row r="224" spans="1:21" ht="15" x14ac:dyDescent="0.25">
      <c r="A224" s="277" t="s">
        <v>138</v>
      </c>
      <c r="B224" s="236" t="s">
        <v>85</v>
      </c>
      <c r="C224" s="24"/>
      <c r="D224" s="24"/>
      <c r="E224" s="24"/>
      <c r="F224" s="24"/>
      <c r="G224" s="24"/>
      <c r="H224" s="24"/>
      <c r="K224" s="308" t="s">
        <v>85</v>
      </c>
      <c r="L224" s="40"/>
      <c r="M224" s="1"/>
    </row>
    <row r="225" spans="1:21" ht="15" x14ac:dyDescent="0.25">
      <c r="A225" s="277" t="s">
        <v>140</v>
      </c>
      <c r="B225" s="236" t="s">
        <v>85</v>
      </c>
      <c r="C225" s="24"/>
      <c r="D225" s="24"/>
      <c r="E225" s="24"/>
      <c r="F225" s="24"/>
      <c r="G225" s="24"/>
      <c r="H225" s="24"/>
      <c r="K225" s="308" t="s">
        <v>85</v>
      </c>
      <c r="L225" s="40"/>
      <c r="M225" s="1"/>
    </row>
    <row r="226" spans="1:21" ht="15" x14ac:dyDescent="0.25">
      <c r="A226" s="277" t="s">
        <v>142</v>
      </c>
      <c r="B226" s="236" t="s">
        <v>85</v>
      </c>
      <c r="C226" s="24"/>
      <c r="D226" s="24"/>
      <c r="E226" s="24"/>
      <c r="F226" s="24"/>
      <c r="G226" s="24"/>
      <c r="H226" s="24"/>
      <c r="K226" s="308" t="s">
        <v>85</v>
      </c>
      <c r="L226" s="40"/>
      <c r="M226" s="1"/>
    </row>
    <row r="227" spans="1:21" customFormat="1" ht="30" x14ac:dyDescent="0.25">
      <c r="A227" s="278" t="s">
        <v>144</v>
      </c>
      <c r="B227" s="236" t="str">
        <f>IF(B217=$N$5,"Yes","No")</f>
        <v>No</v>
      </c>
      <c r="C227" s="24"/>
      <c r="D227" s="24"/>
      <c r="E227" s="24"/>
      <c r="F227" s="24"/>
      <c r="G227" s="24"/>
      <c r="H227" s="231"/>
      <c r="I227" s="35"/>
      <c r="J227" s="2"/>
      <c r="K227" s="308" t="s">
        <v>85</v>
      </c>
      <c r="L227" s="40"/>
      <c r="M227" s="1"/>
      <c r="N227" s="2"/>
      <c r="O227" s="2"/>
      <c r="P227" s="2"/>
      <c r="Q227" s="2"/>
      <c r="R227" s="2"/>
      <c r="S227" s="2"/>
      <c r="T227" s="8"/>
      <c r="U227" s="8"/>
    </row>
    <row r="228" spans="1:21" ht="15" x14ac:dyDescent="0.25">
      <c r="A228" s="229" t="s">
        <v>121</v>
      </c>
      <c r="B228" s="403" t="s">
        <v>206</v>
      </c>
      <c r="C228" s="404"/>
      <c r="D228" s="404"/>
      <c r="E228" s="404"/>
      <c r="F228" s="404"/>
      <c r="G228" s="404"/>
      <c r="H228" s="24"/>
      <c r="J228" s="22"/>
      <c r="K228" s="308" t="s">
        <v>85</v>
      </c>
      <c r="L228" s="40"/>
      <c r="M228" s="1"/>
      <c r="N228" s="8"/>
      <c r="O228" s="8"/>
      <c r="P228" s="8"/>
      <c r="Q228" s="8"/>
      <c r="R228" s="8"/>
      <c r="S228" s="8"/>
    </row>
    <row r="229" spans="1:21" ht="15" thickBot="1" x14ac:dyDescent="0.25">
      <c r="A229" s="24"/>
      <c r="B229" s="236"/>
      <c r="C229" s="24"/>
      <c r="D229" s="24"/>
      <c r="E229" s="24"/>
      <c r="F229" s="24"/>
      <c r="G229" s="24"/>
      <c r="H229" s="24"/>
      <c r="K229" s="308" t="s">
        <v>85</v>
      </c>
      <c r="L229" s="40"/>
      <c r="M229" s="1"/>
    </row>
    <row r="230" spans="1:21" ht="15.75" thickBot="1" x14ac:dyDescent="0.3">
      <c r="A230" s="275" t="s">
        <v>207</v>
      </c>
      <c r="B230" s="401" t="s">
        <v>202</v>
      </c>
      <c r="C230" s="402"/>
      <c r="D230" s="402"/>
      <c r="E230" s="402"/>
      <c r="F230" s="402"/>
      <c r="G230" s="402"/>
      <c r="H230" s="402"/>
      <c r="K230" s="308" t="s">
        <v>85</v>
      </c>
      <c r="L230" s="40"/>
      <c r="M230" s="1"/>
    </row>
    <row r="231" spans="1:21" ht="15" x14ac:dyDescent="0.25">
      <c r="A231" s="229" t="s">
        <v>87</v>
      </c>
      <c r="B231" s="236" t="s">
        <v>120</v>
      </c>
      <c r="C231" s="24"/>
      <c r="D231" s="24"/>
      <c r="E231" s="24"/>
      <c r="F231" s="24"/>
      <c r="G231" s="24"/>
      <c r="H231" s="24"/>
      <c r="K231" s="308" t="s">
        <v>85</v>
      </c>
      <c r="L231" s="40"/>
      <c r="M231" s="1"/>
    </row>
    <row r="232" spans="1:21" ht="15" x14ac:dyDescent="0.25">
      <c r="A232" s="229"/>
      <c r="B232" s="240" t="str">
        <f>CONCATENATE($O$2&amp;": "&amp;VLOOKUP($B231,$N$4:$U$27,2,0))</f>
        <v>Font: Arial</v>
      </c>
      <c r="C232" s="21" t="str">
        <f>CONCATENATE($P$2&amp;": "&amp;VLOOKUP($B231,$N$4:$U$27,3,0))</f>
        <v>T-face: Normal</v>
      </c>
      <c r="D232" s="21" t="str">
        <f>CONCATENATE($Q$2&amp;": "&amp;VLOOKUP($B231,$N$4:$U$27,4,0))</f>
        <v>Font size: 11</v>
      </c>
      <c r="E232" s="21" t="str">
        <f>CONCATENATE($R$2&amp;": "&amp;VLOOKUP($B231,$N$4:$U$27,5,0))</f>
        <v>Row height: 31.5</v>
      </c>
      <c r="F232" s="21" t="str">
        <f>CONCATENATE($S$2&amp;": "&amp;VLOOKUP($B231,$N$4:$U$27,6,0))</f>
        <v>Text col: Black</v>
      </c>
      <c r="G232" s="21" t="str">
        <f>CONCATENATE($T$2&amp;": "&amp;VLOOKUP($B231,$N$4:$U$27,7,0))</f>
        <v>BG col: White</v>
      </c>
      <c r="H232" s="21" t="str">
        <f>CONCATENATE($U$2&amp;": "&amp;VLOOKUP($B231,$N$4:$U$27,8,0))</f>
        <v>Just: Left</v>
      </c>
      <c r="K232" s="308" t="s">
        <v>85</v>
      </c>
      <c r="L232" s="40"/>
      <c r="M232" s="1"/>
    </row>
    <row r="233" spans="1:21" ht="15" x14ac:dyDescent="0.25">
      <c r="A233" s="229" t="s">
        <v>99</v>
      </c>
      <c r="B233" s="236" t="s">
        <v>203</v>
      </c>
      <c r="C233" s="24"/>
      <c r="D233" s="24"/>
      <c r="E233" s="24"/>
      <c r="F233" s="24"/>
      <c r="G233" s="24"/>
      <c r="H233" s="24"/>
      <c r="K233" s="308" t="s">
        <v>85</v>
      </c>
      <c r="L233" s="40"/>
      <c r="M233" s="1"/>
    </row>
    <row r="234" spans="1:21" ht="30" customHeight="1" x14ac:dyDescent="0.25">
      <c r="A234" s="229" t="s">
        <v>102</v>
      </c>
      <c r="B234" s="420" t="s">
        <v>208</v>
      </c>
      <c r="C234" s="421"/>
      <c r="D234" s="421"/>
      <c r="E234" s="421"/>
      <c r="F234" s="421"/>
      <c r="G234" s="421"/>
      <c r="H234" s="151"/>
      <c r="K234" s="308" t="s">
        <v>151</v>
      </c>
      <c r="L234" s="40"/>
      <c r="M234" s="1"/>
    </row>
    <row r="235" spans="1:21" ht="15" x14ac:dyDescent="0.25">
      <c r="A235" s="277" t="s">
        <v>104</v>
      </c>
      <c r="B235" s="236" t="s">
        <v>205</v>
      </c>
      <c r="C235" s="24"/>
      <c r="D235" s="24"/>
      <c r="E235" s="24"/>
      <c r="F235" s="24"/>
      <c r="G235" s="24"/>
      <c r="H235" s="24"/>
      <c r="K235" s="308" t="s">
        <v>85</v>
      </c>
      <c r="L235" s="40"/>
      <c r="M235" s="1"/>
    </row>
    <row r="236" spans="1:21" ht="15" x14ac:dyDescent="0.25">
      <c r="A236" s="277" t="s">
        <v>87</v>
      </c>
      <c r="B236" s="403" t="s">
        <v>155</v>
      </c>
      <c r="C236" s="404"/>
      <c r="D236" s="404"/>
      <c r="E236" s="404"/>
      <c r="F236" s="404"/>
      <c r="G236" s="404"/>
      <c r="H236" s="24"/>
      <c r="K236" s="308" t="s">
        <v>85</v>
      </c>
      <c r="L236" s="40"/>
      <c r="M236" s="1"/>
      <c r="T236"/>
      <c r="U236"/>
    </row>
    <row r="237" spans="1:21" ht="15" x14ac:dyDescent="0.25">
      <c r="A237" s="277" t="s">
        <v>110</v>
      </c>
      <c r="B237" s="236" t="s">
        <v>85</v>
      </c>
      <c r="C237" s="24"/>
      <c r="D237" s="24"/>
      <c r="E237" s="24"/>
      <c r="F237" s="24"/>
      <c r="G237" s="24"/>
      <c r="H237" s="24"/>
      <c r="K237" s="308" t="s">
        <v>85</v>
      </c>
      <c r="L237" s="40"/>
      <c r="M237" s="1"/>
      <c r="N237" s="23"/>
      <c r="O237" s="23"/>
      <c r="P237" s="23"/>
      <c r="Q237" s="23"/>
      <c r="R237" s="23"/>
      <c r="S237" s="23"/>
    </row>
    <row r="238" spans="1:21" ht="15" x14ac:dyDescent="0.25">
      <c r="A238" s="277" t="s">
        <v>138</v>
      </c>
      <c r="B238" s="236" t="s">
        <v>85</v>
      </c>
      <c r="C238" s="24"/>
      <c r="D238" s="24"/>
      <c r="E238" s="24"/>
      <c r="F238" s="24"/>
      <c r="G238" s="24"/>
      <c r="H238" s="24"/>
      <c r="K238" s="308" t="s">
        <v>85</v>
      </c>
      <c r="L238" s="40"/>
      <c r="M238" s="1"/>
    </row>
    <row r="239" spans="1:21" ht="15" x14ac:dyDescent="0.25">
      <c r="A239" s="277" t="s">
        <v>140</v>
      </c>
      <c r="B239" s="236" t="s">
        <v>85</v>
      </c>
      <c r="C239" s="24"/>
      <c r="D239" s="24"/>
      <c r="E239" s="24"/>
      <c r="F239" s="24"/>
      <c r="G239" s="24"/>
      <c r="H239" s="24"/>
      <c r="K239" s="308" t="s">
        <v>85</v>
      </c>
      <c r="L239" s="40"/>
      <c r="M239" s="1"/>
    </row>
    <row r="240" spans="1:21" ht="15" x14ac:dyDescent="0.25">
      <c r="A240" s="277" t="s">
        <v>142</v>
      </c>
      <c r="B240" s="236" t="s">
        <v>85</v>
      </c>
      <c r="C240" s="24"/>
      <c r="D240" s="24"/>
      <c r="E240" s="24"/>
      <c r="F240" s="24"/>
      <c r="G240" s="24"/>
      <c r="H240" s="24"/>
      <c r="K240" s="308" t="s">
        <v>85</v>
      </c>
      <c r="L240" s="40"/>
      <c r="M240" s="1"/>
    </row>
    <row r="241" spans="1:21" customFormat="1" ht="30" x14ac:dyDescent="0.25">
      <c r="A241" s="278" t="s">
        <v>144</v>
      </c>
      <c r="B241" s="236" t="str">
        <f>IF(B231=$N$5,"Yes","No")</f>
        <v>No</v>
      </c>
      <c r="C241" s="24"/>
      <c r="D241" s="24"/>
      <c r="E241" s="24"/>
      <c r="F241" s="24"/>
      <c r="G241" s="24"/>
      <c r="H241" s="231"/>
      <c r="I241" s="35"/>
      <c r="J241" s="2"/>
      <c r="K241" s="308" t="s">
        <v>85</v>
      </c>
      <c r="L241" s="40"/>
      <c r="M241" s="1"/>
      <c r="N241" s="2"/>
      <c r="O241" s="2"/>
      <c r="P241" s="2"/>
      <c r="Q241" s="2"/>
      <c r="R241" s="2"/>
      <c r="S241" s="2"/>
      <c r="T241" s="2"/>
      <c r="U241" s="2"/>
    </row>
    <row r="242" spans="1:21" ht="15" x14ac:dyDescent="0.25">
      <c r="A242" s="229" t="s">
        <v>121</v>
      </c>
      <c r="B242" s="403" t="s">
        <v>206</v>
      </c>
      <c r="C242" s="404"/>
      <c r="D242" s="404"/>
      <c r="E242" s="404"/>
      <c r="F242" s="404"/>
      <c r="G242" s="404"/>
      <c r="H242" s="24"/>
      <c r="J242" s="22"/>
      <c r="K242" s="308" t="s">
        <v>85</v>
      </c>
      <c r="L242" s="40"/>
      <c r="M242" s="1"/>
    </row>
    <row r="243" spans="1:21" ht="15" thickBot="1" x14ac:dyDescent="0.25">
      <c r="A243" s="24"/>
      <c r="B243" s="236"/>
      <c r="C243" s="24"/>
      <c r="D243" s="24"/>
      <c r="E243" s="24"/>
      <c r="F243" s="24"/>
      <c r="G243" s="24"/>
      <c r="H243" s="24"/>
      <c r="K243" s="308" t="s">
        <v>85</v>
      </c>
      <c r="L243" s="40"/>
      <c r="M243" s="1"/>
    </row>
    <row r="244" spans="1:21" ht="15.75" thickBot="1" x14ac:dyDescent="0.3">
      <c r="A244" s="275" t="s">
        <v>209</v>
      </c>
      <c r="B244" s="401" t="s">
        <v>202</v>
      </c>
      <c r="C244" s="402"/>
      <c r="D244" s="402"/>
      <c r="E244" s="402"/>
      <c r="F244" s="402"/>
      <c r="G244" s="402"/>
      <c r="H244" s="402"/>
      <c r="K244" s="308" t="s">
        <v>85</v>
      </c>
      <c r="L244" s="40"/>
      <c r="M244" s="1"/>
    </row>
    <row r="245" spans="1:21" ht="15" x14ac:dyDescent="0.25">
      <c r="A245" s="229" t="s">
        <v>87</v>
      </c>
      <c r="B245" s="236" t="s">
        <v>118</v>
      </c>
      <c r="C245" s="24"/>
      <c r="D245" s="24"/>
      <c r="E245" s="24"/>
      <c r="F245" s="24"/>
      <c r="G245" s="24"/>
      <c r="H245" s="24"/>
      <c r="K245" s="308" t="s">
        <v>85</v>
      </c>
      <c r="L245" s="40"/>
      <c r="M245" s="1"/>
    </row>
    <row r="246" spans="1:21" s="8" customFormat="1" ht="29.25" x14ac:dyDescent="0.25">
      <c r="A246" s="276"/>
      <c r="B246" s="237" t="str">
        <f>CONCATENATE($O$2&amp;": "&amp;VLOOKUP($B245,$N$4:$U$27,2,0))</f>
        <v>Font: Arial</v>
      </c>
      <c r="C246" s="19" t="str">
        <f>CONCATENATE($P$2&amp;": "&amp;VLOOKUP($B245,$N$4:$U$27,3,0))</f>
        <v>T-face: Normal</v>
      </c>
      <c r="D246" s="19" t="str">
        <f>CONCATENATE($Q$2&amp;": "&amp;VLOOKUP($B245,$N$4:$U$27,4,0))</f>
        <v>Font size: 11</v>
      </c>
      <c r="E246" s="19" t="str">
        <f>CONCATENATE($R$2&amp;": "&amp;VLOOKUP($B245,$N$4:$U$27,5,0))</f>
        <v>Row height: 15</v>
      </c>
      <c r="F246" s="19" t="str">
        <f>CONCATENATE($S$2&amp;": "&amp;VLOOKUP($B245,$N$4:$U$27,6,0))</f>
        <v>Text col: Black</v>
      </c>
      <c r="G246" s="19" t="str">
        <f>CONCATENATE($T$2&amp;": "&amp;VLOOKUP($B245,$N$4:$U$27,7,0))</f>
        <v>BG col: White</v>
      </c>
      <c r="H246" s="19" t="str">
        <f>CONCATENATE($U$2&amp;": "&amp;VLOOKUP($B245,$N$4:$U$27,8,0))</f>
        <v>Just: Left</v>
      </c>
      <c r="I246" s="37"/>
      <c r="J246" s="2"/>
      <c r="K246" s="308" t="s">
        <v>85</v>
      </c>
      <c r="L246" s="40"/>
      <c r="M246" s="1"/>
      <c r="N246" s="2"/>
      <c r="O246" s="2"/>
      <c r="P246" s="2"/>
      <c r="Q246" s="2"/>
      <c r="R246" s="2"/>
      <c r="S246" s="2"/>
      <c r="T246" s="2"/>
      <c r="U246" s="2"/>
    </row>
    <row r="247" spans="1:21" ht="15" x14ac:dyDescent="0.25">
      <c r="A247" s="229" t="s">
        <v>99</v>
      </c>
      <c r="B247" s="236" t="s">
        <v>203</v>
      </c>
      <c r="C247" s="24"/>
      <c r="D247" s="24"/>
      <c r="E247" s="24"/>
      <c r="F247" s="24"/>
      <c r="G247" s="24"/>
      <c r="H247" s="24"/>
      <c r="J247" s="8"/>
      <c r="K247" s="308" t="s">
        <v>85</v>
      </c>
      <c r="L247" s="40"/>
      <c r="M247" s="1"/>
    </row>
    <row r="248" spans="1:21" ht="14.1" customHeight="1" x14ac:dyDescent="0.25">
      <c r="A248" s="229" t="s">
        <v>102</v>
      </c>
      <c r="B248" s="418" t="s">
        <v>210</v>
      </c>
      <c r="C248" s="419"/>
      <c r="D248" s="419"/>
      <c r="E248" s="419"/>
      <c r="F248" s="419"/>
      <c r="G248" s="419"/>
      <c r="H248" s="151"/>
      <c r="K248" s="308" t="s">
        <v>151</v>
      </c>
      <c r="L248" s="40"/>
      <c r="M248" s="1"/>
    </row>
    <row r="249" spans="1:21" ht="15" x14ac:dyDescent="0.25">
      <c r="A249" s="277" t="s">
        <v>104</v>
      </c>
      <c r="B249" s="236" t="s">
        <v>105</v>
      </c>
      <c r="C249" s="24"/>
      <c r="D249" s="24"/>
      <c r="E249" s="24"/>
      <c r="F249" s="24"/>
      <c r="G249" s="24"/>
      <c r="H249" s="24"/>
      <c r="K249" s="308" t="s">
        <v>85</v>
      </c>
      <c r="L249" s="40"/>
      <c r="M249" s="1"/>
    </row>
    <row r="250" spans="1:21" ht="15" x14ac:dyDescent="0.25">
      <c r="A250" s="277" t="s">
        <v>87</v>
      </c>
      <c r="B250" s="403" t="s">
        <v>155</v>
      </c>
      <c r="C250" s="404"/>
      <c r="D250" s="404"/>
      <c r="E250" s="404"/>
      <c r="F250" s="404"/>
      <c r="G250" s="404"/>
      <c r="H250" s="24"/>
      <c r="K250" s="308" t="s">
        <v>85</v>
      </c>
      <c r="L250" s="40"/>
      <c r="M250" s="1"/>
      <c r="T250"/>
      <c r="U250"/>
    </row>
    <row r="251" spans="1:21" ht="15" x14ac:dyDescent="0.25">
      <c r="A251" s="277" t="s">
        <v>110</v>
      </c>
      <c r="B251" s="236" t="s">
        <v>85</v>
      </c>
      <c r="C251" s="24"/>
      <c r="D251" s="24"/>
      <c r="E251" s="24"/>
      <c r="F251" s="24"/>
      <c r="G251" s="24"/>
      <c r="H251" s="24"/>
      <c r="K251" s="308" t="s">
        <v>85</v>
      </c>
      <c r="L251" s="40"/>
      <c r="M251" s="1"/>
      <c r="N251" s="23"/>
      <c r="O251" s="23"/>
      <c r="P251" s="23"/>
      <c r="Q251" s="23"/>
      <c r="R251" s="23"/>
      <c r="S251" s="23"/>
    </row>
    <row r="252" spans="1:21" ht="15" x14ac:dyDescent="0.25">
      <c r="A252" s="277" t="s">
        <v>138</v>
      </c>
      <c r="B252" s="236" t="s">
        <v>85</v>
      </c>
      <c r="C252" s="24"/>
      <c r="D252" s="24"/>
      <c r="E252" s="24"/>
      <c r="F252" s="24"/>
      <c r="G252" s="24"/>
      <c r="H252" s="24"/>
      <c r="K252" s="308" t="s">
        <v>85</v>
      </c>
      <c r="L252" s="40"/>
      <c r="M252" s="1"/>
    </row>
    <row r="253" spans="1:21" ht="15" x14ac:dyDescent="0.25">
      <c r="A253" s="277" t="s">
        <v>140</v>
      </c>
      <c r="B253" s="236" t="s">
        <v>85</v>
      </c>
      <c r="C253" s="24"/>
      <c r="D253" s="24"/>
      <c r="E253" s="24"/>
      <c r="F253" s="24"/>
      <c r="G253" s="24"/>
      <c r="H253" s="24"/>
      <c r="K253" s="308" t="s">
        <v>85</v>
      </c>
      <c r="L253" s="40"/>
      <c r="M253" s="1"/>
    </row>
    <row r="254" spans="1:21" ht="15" x14ac:dyDescent="0.25">
      <c r="A254" s="277" t="s">
        <v>142</v>
      </c>
      <c r="B254" s="236" t="s">
        <v>85</v>
      </c>
      <c r="C254" s="24"/>
      <c r="D254" s="24"/>
      <c r="E254" s="24"/>
      <c r="F254" s="24"/>
      <c r="G254" s="24"/>
      <c r="H254" s="24"/>
      <c r="K254" s="308" t="s">
        <v>85</v>
      </c>
      <c r="L254" s="40"/>
      <c r="M254" s="1"/>
    </row>
    <row r="255" spans="1:21" customFormat="1" ht="30" x14ac:dyDescent="0.25">
      <c r="A255" s="278" t="s">
        <v>144</v>
      </c>
      <c r="B255" s="236" t="str">
        <f>IF(B245=$N$5,"Yes","No")</f>
        <v>No</v>
      </c>
      <c r="C255" s="24"/>
      <c r="D255" s="24"/>
      <c r="E255" s="24"/>
      <c r="F255" s="24"/>
      <c r="G255" s="24"/>
      <c r="H255" s="231"/>
      <c r="I255" s="35"/>
      <c r="J255" s="2"/>
      <c r="K255" s="308" t="s">
        <v>85</v>
      </c>
      <c r="L255" s="40"/>
      <c r="M255" s="1"/>
      <c r="N255" s="2"/>
      <c r="O255" s="2"/>
      <c r="P255" s="2"/>
      <c r="Q255" s="2"/>
      <c r="R255" s="2"/>
      <c r="S255" s="2"/>
      <c r="T255" s="8"/>
      <c r="U255" s="8"/>
    </row>
    <row r="256" spans="1:21" ht="28.5" customHeight="1" x14ac:dyDescent="0.25">
      <c r="A256" s="229" t="s">
        <v>121</v>
      </c>
      <c r="B256" s="403" t="s">
        <v>211</v>
      </c>
      <c r="C256" s="404"/>
      <c r="D256" s="404"/>
      <c r="E256" s="404"/>
      <c r="F256" s="404"/>
      <c r="G256" s="404"/>
      <c r="H256" s="24"/>
      <c r="J256" s="22"/>
      <c r="K256" s="308" t="s">
        <v>85</v>
      </c>
      <c r="L256" s="40"/>
      <c r="M256" s="1"/>
      <c r="N256" s="8"/>
      <c r="O256" s="8"/>
      <c r="P256" s="8"/>
      <c r="Q256" s="8"/>
      <c r="R256" s="8"/>
      <c r="S256" s="8"/>
    </row>
    <row r="257" spans="1:21" ht="15" thickBot="1" x14ac:dyDescent="0.25">
      <c r="A257" s="24"/>
      <c r="B257" s="236"/>
      <c r="C257" s="24"/>
      <c r="D257" s="24"/>
      <c r="E257" s="24"/>
      <c r="F257" s="24"/>
      <c r="G257" s="24"/>
      <c r="H257" s="24"/>
      <c r="K257" s="308" t="s">
        <v>85</v>
      </c>
      <c r="L257" s="40"/>
      <c r="M257" s="1"/>
    </row>
    <row r="258" spans="1:21" ht="15.75" thickBot="1" x14ac:dyDescent="0.3">
      <c r="A258" s="275" t="s">
        <v>212</v>
      </c>
      <c r="B258" s="401" t="s">
        <v>202</v>
      </c>
      <c r="C258" s="402"/>
      <c r="D258" s="402"/>
      <c r="E258" s="402"/>
      <c r="F258" s="402"/>
      <c r="G258" s="402"/>
      <c r="H258" s="402"/>
      <c r="K258" s="308" t="s">
        <v>85</v>
      </c>
      <c r="L258" s="40"/>
      <c r="M258" s="1"/>
    </row>
    <row r="259" spans="1:21" ht="15" x14ac:dyDescent="0.25">
      <c r="A259" s="229" t="s">
        <v>87</v>
      </c>
      <c r="B259" s="236" t="s">
        <v>120</v>
      </c>
      <c r="C259" s="24"/>
      <c r="D259" s="24"/>
      <c r="E259" s="24"/>
      <c r="F259" s="24"/>
      <c r="G259" s="24"/>
      <c r="H259" s="24"/>
      <c r="K259" s="308" t="s">
        <v>85</v>
      </c>
      <c r="L259" s="40"/>
      <c r="M259" s="1"/>
    </row>
    <row r="260" spans="1:21" s="8" customFormat="1" ht="29.25" x14ac:dyDescent="0.25">
      <c r="A260" s="276"/>
      <c r="B260" s="237" t="str">
        <f>CONCATENATE($O$2&amp;": "&amp;VLOOKUP($B259,$N$4:$U$27,2,0))</f>
        <v>Font: Arial</v>
      </c>
      <c r="C260" s="19" t="str">
        <f>CONCATENATE($P$2&amp;": "&amp;VLOOKUP($B259,$N$4:$U$27,3,0))</f>
        <v>T-face: Normal</v>
      </c>
      <c r="D260" s="19" t="str">
        <f>CONCATENATE($Q$2&amp;": "&amp;VLOOKUP($B259,$N$4:$U$27,4,0))</f>
        <v>Font size: 11</v>
      </c>
      <c r="E260" s="19" t="str">
        <f>CONCATENATE($R$2&amp;": "&amp;VLOOKUP($B259,$N$4:$U$27,5,0))</f>
        <v>Row height: 31.5</v>
      </c>
      <c r="F260" s="19" t="str">
        <f>CONCATENATE($S$2&amp;": "&amp;VLOOKUP($B259,$N$4:$U$27,6,0))</f>
        <v>Text col: Black</v>
      </c>
      <c r="G260" s="19" t="str">
        <f>CONCATENATE($T$2&amp;": "&amp;VLOOKUP($B259,$N$4:$U$27,7,0))</f>
        <v>BG col: White</v>
      </c>
      <c r="H260" s="19" t="str">
        <f>CONCATENATE($U$2&amp;": "&amp;VLOOKUP($B259,$N$4:$U$27,8,0))</f>
        <v>Just: Left</v>
      </c>
      <c r="I260" s="37"/>
      <c r="J260" s="2"/>
      <c r="K260" s="308" t="s">
        <v>85</v>
      </c>
      <c r="L260" s="40"/>
      <c r="M260" s="1"/>
      <c r="N260" s="2"/>
      <c r="O260" s="2"/>
      <c r="P260" s="2"/>
      <c r="Q260" s="2"/>
      <c r="R260" s="2"/>
      <c r="S260" s="2"/>
      <c r="T260" s="2"/>
      <c r="U260" s="2"/>
    </row>
    <row r="261" spans="1:21" ht="15" x14ac:dyDescent="0.25">
      <c r="A261" s="229" t="s">
        <v>99</v>
      </c>
      <c r="B261" s="403" t="s">
        <v>203</v>
      </c>
      <c r="C261" s="404"/>
      <c r="D261" s="404"/>
      <c r="E261" s="404"/>
      <c r="F261" s="404"/>
      <c r="G261" s="404"/>
      <c r="H261" s="24"/>
      <c r="J261" s="8"/>
      <c r="K261" s="308" t="s">
        <v>85</v>
      </c>
      <c r="L261" s="40"/>
      <c r="M261" s="1"/>
    </row>
    <row r="262" spans="1:21" ht="26.1" customHeight="1" x14ac:dyDescent="0.25">
      <c r="A262" s="229" t="s">
        <v>102</v>
      </c>
      <c r="B262" s="415" t="s">
        <v>213</v>
      </c>
      <c r="C262" s="416"/>
      <c r="D262" s="416"/>
      <c r="E262" s="416"/>
      <c r="F262" s="416"/>
      <c r="G262" s="416"/>
      <c r="H262" s="24"/>
      <c r="K262" s="308" t="s">
        <v>151</v>
      </c>
      <c r="L262" s="40"/>
      <c r="M262" s="1"/>
    </row>
    <row r="263" spans="1:21" ht="15" x14ac:dyDescent="0.25">
      <c r="A263" s="277" t="s">
        <v>104</v>
      </c>
      <c r="B263" s="236" t="s">
        <v>205</v>
      </c>
      <c r="C263" s="24"/>
      <c r="D263" s="24"/>
      <c r="E263" s="24"/>
      <c r="F263" s="24"/>
      <c r="G263" s="24"/>
      <c r="H263" s="24"/>
      <c r="K263" s="308" t="s">
        <v>85</v>
      </c>
      <c r="L263" s="40"/>
      <c r="M263" s="1"/>
    </row>
    <row r="264" spans="1:21" ht="15" x14ac:dyDescent="0.25">
      <c r="A264" s="277" t="s">
        <v>87</v>
      </c>
      <c r="B264" s="403" t="s">
        <v>155</v>
      </c>
      <c r="C264" s="404"/>
      <c r="D264" s="404"/>
      <c r="E264" s="404"/>
      <c r="F264" s="404"/>
      <c r="G264" s="404"/>
      <c r="H264" s="24"/>
      <c r="K264" s="308" t="s">
        <v>85</v>
      </c>
      <c r="L264" s="40"/>
      <c r="M264" s="1"/>
      <c r="T264"/>
      <c r="U264"/>
    </row>
    <row r="265" spans="1:21" ht="15" x14ac:dyDescent="0.25">
      <c r="A265" s="277" t="s">
        <v>110</v>
      </c>
      <c r="B265" s="236" t="s">
        <v>85</v>
      </c>
      <c r="C265" s="24"/>
      <c r="D265" s="24"/>
      <c r="E265" s="24"/>
      <c r="F265" s="24"/>
      <c r="G265" s="24"/>
      <c r="H265" s="24"/>
      <c r="K265" s="308" t="s">
        <v>85</v>
      </c>
      <c r="L265" s="40"/>
      <c r="M265" s="1"/>
      <c r="N265" s="23"/>
      <c r="O265" s="23"/>
      <c r="P265" s="23"/>
      <c r="Q265" s="23"/>
      <c r="R265" s="23"/>
      <c r="S265" s="23"/>
    </row>
    <row r="266" spans="1:21" ht="15" x14ac:dyDescent="0.25">
      <c r="A266" s="277" t="s">
        <v>138</v>
      </c>
      <c r="B266" s="236" t="s">
        <v>85</v>
      </c>
      <c r="C266" s="24"/>
      <c r="D266" s="24"/>
      <c r="E266" s="24"/>
      <c r="F266" s="24"/>
      <c r="G266" s="24"/>
      <c r="H266" s="24"/>
      <c r="K266" s="308" t="s">
        <v>85</v>
      </c>
      <c r="L266" s="40"/>
      <c r="M266" s="1"/>
    </row>
    <row r="267" spans="1:21" ht="15" x14ac:dyDescent="0.25">
      <c r="A267" s="277" t="s">
        <v>140</v>
      </c>
      <c r="B267" s="236" t="s">
        <v>85</v>
      </c>
      <c r="C267" s="24"/>
      <c r="D267" s="24"/>
      <c r="E267" s="24"/>
      <c r="F267" s="24"/>
      <c r="G267" s="24"/>
      <c r="H267" s="24"/>
      <c r="K267" s="308" t="s">
        <v>85</v>
      </c>
      <c r="L267" s="40"/>
      <c r="M267" s="1"/>
    </row>
    <row r="268" spans="1:21" ht="15" x14ac:dyDescent="0.25">
      <c r="A268" s="277" t="s">
        <v>142</v>
      </c>
      <c r="B268" s="236" t="s">
        <v>85</v>
      </c>
      <c r="C268" s="24"/>
      <c r="D268" s="24"/>
      <c r="E268" s="24"/>
      <c r="F268" s="24"/>
      <c r="G268" s="24"/>
      <c r="H268" s="24"/>
      <c r="K268" s="308" t="s">
        <v>85</v>
      </c>
      <c r="L268" s="40"/>
      <c r="M268" s="1"/>
    </row>
    <row r="269" spans="1:21" customFormat="1" ht="30" x14ac:dyDescent="0.25">
      <c r="A269" s="278" t="s">
        <v>144</v>
      </c>
      <c r="B269" s="236" t="str">
        <f>IF(B259=$N$5,"Yes","No")</f>
        <v>No</v>
      </c>
      <c r="C269" s="24"/>
      <c r="D269" s="24"/>
      <c r="E269" s="24"/>
      <c r="F269" s="24"/>
      <c r="G269" s="24"/>
      <c r="H269" s="231"/>
      <c r="I269" s="35"/>
      <c r="J269" s="2"/>
      <c r="K269" s="308" t="s">
        <v>85</v>
      </c>
      <c r="L269" s="40"/>
      <c r="M269" s="1"/>
      <c r="N269" s="2"/>
      <c r="O269" s="2"/>
      <c r="P269" s="2"/>
      <c r="Q269" s="2"/>
      <c r="R269" s="2"/>
      <c r="S269" s="2"/>
      <c r="T269" s="8"/>
      <c r="U269" s="8"/>
    </row>
    <row r="270" spans="1:21" ht="15" x14ac:dyDescent="0.25">
      <c r="A270" s="229" t="s">
        <v>121</v>
      </c>
      <c r="B270" s="403" t="s">
        <v>169</v>
      </c>
      <c r="C270" s="404"/>
      <c r="D270" s="404"/>
      <c r="E270" s="404"/>
      <c r="F270" s="404"/>
      <c r="G270" s="404"/>
      <c r="H270" s="24"/>
      <c r="J270" s="22"/>
      <c r="K270" s="308" t="s">
        <v>85</v>
      </c>
      <c r="L270" s="40"/>
      <c r="M270" s="1"/>
      <c r="N270" s="8"/>
      <c r="O270" s="8"/>
      <c r="P270" s="8"/>
      <c r="Q270" s="8"/>
      <c r="R270" s="8"/>
      <c r="S270" s="8"/>
    </row>
    <row r="271" spans="1:21" ht="15" thickBot="1" x14ac:dyDescent="0.25">
      <c r="A271" s="24"/>
      <c r="B271" s="236"/>
      <c r="C271" s="24"/>
      <c r="D271" s="24"/>
      <c r="E271" s="24"/>
      <c r="F271" s="24"/>
      <c r="G271" s="24"/>
      <c r="H271" s="24"/>
      <c r="K271" s="308" t="s">
        <v>85</v>
      </c>
      <c r="L271" s="40"/>
      <c r="M271" s="1"/>
    </row>
    <row r="272" spans="1:21" ht="15.75" thickBot="1" x14ac:dyDescent="0.3">
      <c r="A272" s="275" t="s">
        <v>214</v>
      </c>
      <c r="B272" s="401" t="s">
        <v>202</v>
      </c>
      <c r="C272" s="402"/>
      <c r="D272" s="402"/>
      <c r="E272" s="402"/>
      <c r="F272" s="402"/>
      <c r="G272" s="402"/>
      <c r="H272" s="402"/>
      <c r="K272" s="308" t="s">
        <v>85</v>
      </c>
      <c r="L272" s="40"/>
      <c r="M272" s="1"/>
    </row>
    <row r="273" spans="1:21" ht="15" x14ac:dyDescent="0.25">
      <c r="A273" s="229" t="s">
        <v>87</v>
      </c>
      <c r="B273" s="236" t="s">
        <v>113</v>
      </c>
      <c r="C273" s="24"/>
      <c r="D273" s="24"/>
      <c r="E273" s="24"/>
      <c r="F273" s="24"/>
      <c r="G273" s="24"/>
      <c r="H273" s="24"/>
      <c r="K273" s="308" t="s">
        <v>85</v>
      </c>
      <c r="L273" s="40"/>
      <c r="M273" s="1"/>
    </row>
    <row r="274" spans="1:21" s="8" customFormat="1" ht="29.25" x14ac:dyDescent="0.25">
      <c r="A274" s="276"/>
      <c r="B274" s="237" t="str">
        <f>CONCATENATE($O$2&amp;": "&amp;VLOOKUP($B273,$N$4:$U$27,2,0))</f>
        <v>Font: Arial</v>
      </c>
      <c r="C274" s="19" t="str">
        <f>CONCATENATE($P$2&amp;": "&amp;VLOOKUP($B273,$N$4:$U$27,3,0))</f>
        <v>T-face: Bold</v>
      </c>
      <c r="D274" s="19" t="str">
        <f>CONCATENATE($Q$2&amp;": "&amp;VLOOKUP($B273,$N$4:$U$27,4,0))</f>
        <v>Font size: 11</v>
      </c>
      <c r="E274" s="19" t="str">
        <f>CONCATENATE($R$2&amp;": "&amp;VLOOKUP($B273,$N$4:$U$27,5,0))</f>
        <v>Row height: 38</v>
      </c>
      <c r="F274" s="19" t="str">
        <f>CONCATENATE($S$2&amp;": "&amp;VLOOKUP($B273,$N$4:$U$27,6,0))</f>
        <v>Text col: Black</v>
      </c>
      <c r="G274" s="19" t="str">
        <f>CONCATENATE($T$2&amp;": "&amp;VLOOKUP($B273,$N$4:$U$27,7,0))</f>
        <v>BG col: White</v>
      </c>
      <c r="H274" s="19" t="str">
        <f>CONCATENATE($U$2&amp;": "&amp;VLOOKUP($B273,$N$4:$U$27,8,0))</f>
        <v>Just: Left</v>
      </c>
      <c r="I274" s="37"/>
      <c r="J274" s="2"/>
      <c r="K274" s="308" t="s">
        <v>85</v>
      </c>
      <c r="L274" s="40"/>
      <c r="M274" s="1"/>
      <c r="N274" s="2"/>
      <c r="O274" s="2"/>
      <c r="P274" s="2"/>
      <c r="Q274" s="2"/>
      <c r="R274" s="2"/>
      <c r="S274" s="2"/>
      <c r="T274" s="2"/>
      <c r="U274" s="2"/>
    </row>
    <row r="275" spans="1:21" ht="15" x14ac:dyDescent="0.25">
      <c r="A275" s="229" t="s">
        <v>99</v>
      </c>
      <c r="B275" s="403" t="s">
        <v>215</v>
      </c>
      <c r="C275" s="404"/>
      <c r="D275" s="404"/>
      <c r="E275" s="404"/>
      <c r="F275" s="404"/>
      <c r="G275" s="404"/>
      <c r="H275" s="24"/>
      <c r="J275" s="8"/>
      <c r="K275" s="308" t="s">
        <v>85</v>
      </c>
      <c r="L275" s="40"/>
      <c r="M275" s="1"/>
    </row>
    <row r="276" spans="1:21" ht="31.5" customHeight="1" x14ac:dyDescent="0.25">
      <c r="A276" s="229" t="s">
        <v>102</v>
      </c>
      <c r="B276" s="403" t="s">
        <v>216</v>
      </c>
      <c r="C276" s="404"/>
      <c r="D276" s="404"/>
      <c r="E276" s="404"/>
      <c r="F276" s="404"/>
      <c r="G276" s="404"/>
      <c r="H276" s="24"/>
      <c r="K276" s="308" t="s">
        <v>151</v>
      </c>
      <c r="L276" s="40"/>
      <c r="M276" s="1"/>
    </row>
    <row r="277" spans="1:21" ht="15" x14ac:dyDescent="0.25">
      <c r="A277" s="277" t="s">
        <v>104</v>
      </c>
      <c r="B277" s="236" t="s">
        <v>205</v>
      </c>
      <c r="C277" s="24"/>
      <c r="D277" s="24"/>
      <c r="E277" s="24"/>
      <c r="F277" s="24"/>
      <c r="G277" s="24"/>
      <c r="H277" s="24"/>
      <c r="K277" s="308" t="s">
        <v>85</v>
      </c>
      <c r="L277" s="40"/>
      <c r="M277" s="1"/>
    </row>
    <row r="278" spans="1:21" ht="15" x14ac:dyDescent="0.25">
      <c r="A278" s="277" t="s">
        <v>87</v>
      </c>
      <c r="B278" s="403" t="s">
        <v>155</v>
      </c>
      <c r="C278" s="404"/>
      <c r="D278" s="404"/>
      <c r="E278" s="404"/>
      <c r="F278" s="404"/>
      <c r="G278" s="404"/>
      <c r="H278" s="24"/>
      <c r="K278" s="308" t="s">
        <v>85</v>
      </c>
      <c r="L278" s="40"/>
      <c r="M278" s="1"/>
      <c r="T278"/>
      <c r="U278"/>
    </row>
    <row r="279" spans="1:21" ht="15" x14ac:dyDescent="0.25">
      <c r="A279" s="277" t="s">
        <v>110</v>
      </c>
      <c r="B279" s="236" t="s">
        <v>85</v>
      </c>
      <c r="C279" s="24"/>
      <c r="D279" s="24"/>
      <c r="E279" s="24"/>
      <c r="F279" s="24"/>
      <c r="G279" s="24"/>
      <c r="H279" s="24"/>
      <c r="K279" s="308" t="s">
        <v>85</v>
      </c>
      <c r="L279" s="40"/>
      <c r="M279" s="1"/>
      <c r="N279" s="23"/>
      <c r="O279" s="23"/>
      <c r="P279" s="23"/>
      <c r="Q279" s="23"/>
      <c r="R279" s="23"/>
      <c r="S279" s="23"/>
    </row>
    <row r="280" spans="1:21" ht="15" x14ac:dyDescent="0.25">
      <c r="A280" s="277" t="s">
        <v>138</v>
      </c>
      <c r="B280" s="236" t="s">
        <v>85</v>
      </c>
      <c r="C280" s="24"/>
      <c r="D280" s="24"/>
      <c r="E280" s="24"/>
      <c r="F280" s="24"/>
      <c r="G280" s="24"/>
      <c r="H280" s="24"/>
      <c r="K280" s="308" t="s">
        <v>85</v>
      </c>
      <c r="L280" s="40"/>
      <c r="M280" s="1"/>
    </row>
    <row r="281" spans="1:21" ht="15" x14ac:dyDescent="0.25">
      <c r="A281" s="277" t="s">
        <v>140</v>
      </c>
      <c r="B281" s="236" t="s">
        <v>85</v>
      </c>
      <c r="C281" s="24"/>
      <c r="D281" s="24"/>
      <c r="E281" s="24"/>
      <c r="F281" s="24"/>
      <c r="G281" s="24"/>
      <c r="H281" s="24"/>
      <c r="K281" s="308" t="s">
        <v>85</v>
      </c>
      <c r="L281" s="40"/>
      <c r="M281" s="1"/>
    </row>
    <row r="282" spans="1:21" ht="15" x14ac:dyDescent="0.25">
      <c r="A282" s="277" t="s">
        <v>142</v>
      </c>
      <c r="B282" s="236" t="s">
        <v>85</v>
      </c>
      <c r="C282" s="24"/>
      <c r="D282" s="24"/>
      <c r="E282" s="24"/>
      <c r="F282" s="24"/>
      <c r="G282" s="24"/>
      <c r="H282" s="24"/>
      <c r="K282" s="308" t="s">
        <v>85</v>
      </c>
      <c r="L282" s="40"/>
      <c r="M282" s="1"/>
    </row>
    <row r="283" spans="1:21" customFormat="1" ht="30" x14ac:dyDescent="0.25">
      <c r="A283" s="278" t="s">
        <v>144</v>
      </c>
      <c r="B283" s="236" t="str">
        <f>IF(B273=$N$5,"Yes","No")</f>
        <v>No</v>
      </c>
      <c r="C283" s="24"/>
      <c r="D283" s="24"/>
      <c r="E283" s="24"/>
      <c r="F283" s="24"/>
      <c r="G283" s="24"/>
      <c r="H283" s="231"/>
      <c r="I283" s="35"/>
      <c r="J283" s="2"/>
      <c r="K283" s="308" t="s">
        <v>85</v>
      </c>
      <c r="L283" s="40"/>
      <c r="M283" s="1"/>
      <c r="N283" s="2"/>
      <c r="O283" s="2"/>
      <c r="P283" s="2"/>
      <c r="Q283" s="2"/>
      <c r="R283" s="2"/>
      <c r="S283" s="2"/>
      <c r="T283" s="8"/>
      <c r="U283" s="8"/>
    </row>
    <row r="284" spans="1:21" ht="15" x14ac:dyDescent="0.25">
      <c r="A284" s="229" t="s">
        <v>121</v>
      </c>
      <c r="B284" s="403" t="s">
        <v>206</v>
      </c>
      <c r="C284" s="404"/>
      <c r="D284" s="404"/>
      <c r="E284" s="404"/>
      <c r="F284" s="404"/>
      <c r="G284" s="404"/>
      <c r="H284" s="24"/>
      <c r="J284" s="22"/>
      <c r="K284" s="308" t="s">
        <v>85</v>
      </c>
      <c r="L284" s="40"/>
      <c r="M284" s="1"/>
      <c r="N284" s="8"/>
      <c r="O284" s="8"/>
      <c r="P284" s="8"/>
      <c r="Q284" s="8"/>
      <c r="R284" s="8"/>
      <c r="S284" s="8"/>
    </row>
    <row r="285" spans="1:21" ht="15" thickBot="1" x14ac:dyDescent="0.25">
      <c r="A285" s="24"/>
      <c r="B285" s="236"/>
      <c r="C285" s="24"/>
      <c r="D285" s="24"/>
      <c r="E285" s="24"/>
      <c r="F285" s="24"/>
      <c r="G285" s="24"/>
      <c r="H285" s="24"/>
      <c r="K285" s="308" t="s">
        <v>85</v>
      </c>
      <c r="L285" s="40"/>
      <c r="M285" s="1"/>
    </row>
    <row r="286" spans="1:21" ht="15.75" thickBot="1" x14ac:dyDescent="0.3">
      <c r="A286" s="275" t="s">
        <v>217</v>
      </c>
      <c r="B286" s="401" t="s">
        <v>218</v>
      </c>
      <c r="C286" s="402"/>
      <c r="D286" s="402"/>
      <c r="E286" s="402"/>
      <c r="F286" s="402"/>
      <c r="G286" s="402"/>
      <c r="H286" s="402"/>
      <c r="K286" s="308" t="s">
        <v>85</v>
      </c>
      <c r="L286" s="40"/>
      <c r="M286" s="1"/>
    </row>
    <row r="287" spans="1:21" ht="15" x14ac:dyDescent="0.25">
      <c r="A287" s="229" t="s">
        <v>87</v>
      </c>
      <c r="B287" s="236" t="s">
        <v>131</v>
      </c>
      <c r="C287" s="24"/>
      <c r="D287" s="24"/>
      <c r="E287" s="24"/>
      <c r="F287" s="24"/>
      <c r="G287" s="24"/>
      <c r="H287" s="24"/>
      <c r="K287" s="308" t="s">
        <v>85</v>
      </c>
      <c r="L287" s="40"/>
      <c r="M287" s="1"/>
    </row>
    <row r="288" spans="1:21" s="8" customFormat="1" ht="15" x14ac:dyDescent="0.25">
      <c r="A288" s="276"/>
      <c r="B288" s="237" t="str">
        <f>CONCATENATE($O$2&amp;": "&amp;VLOOKUP($B287,$N$4:$U$27,2,0))</f>
        <v>Font: Arial</v>
      </c>
      <c r="C288" s="19" t="str">
        <f>CONCATENATE($P$2&amp;": "&amp;VLOOKUP($B287,$N$4:$U$27,3,0))</f>
        <v>T-face: Bold</v>
      </c>
      <c r="D288" s="19" t="str">
        <f>CONCATENATE($Q$2&amp;": "&amp;VLOOKUP($B287,$N$4:$U$27,4,0))</f>
        <v>Font size: 16</v>
      </c>
      <c r="E288" s="19" t="str">
        <f>CONCATENATE($R$2&amp;": "&amp;VLOOKUP($B287,$N$4:$U$27,5,0))</f>
        <v>Row height: 40</v>
      </c>
      <c r="F288" s="19" t="str">
        <f>CONCATENATE($S$2&amp;": "&amp;VLOOKUP($B287,$N$4:$U$27,6,0))</f>
        <v>Text col: Blue</v>
      </c>
      <c r="G288" s="19" t="str">
        <f>CONCATENATE($T$2&amp;": "&amp;VLOOKUP($B287,$N$4:$U$27,7,0))</f>
        <v>BG col: White</v>
      </c>
      <c r="H288" s="19" t="str">
        <f>CONCATENATE($U$2&amp;": "&amp;VLOOKUP($B287,$N$4:$U$27,8,0))</f>
        <v>Just: Left</v>
      </c>
      <c r="I288" s="37"/>
      <c r="J288" s="2"/>
      <c r="K288" s="308" t="s">
        <v>85</v>
      </c>
      <c r="L288" s="40"/>
      <c r="M288" s="1"/>
      <c r="N288" s="2"/>
      <c r="O288" s="2"/>
      <c r="P288" s="2"/>
      <c r="Q288" s="2"/>
      <c r="R288" s="2"/>
      <c r="S288" s="2"/>
      <c r="T288" s="2"/>
      <c r="U288" s="2"/>
    </row>
    <row r="289" spans="1:21" ht="15" x14ac:dyDescent="0.25">
      <c r="A289" s="229" t="s">
        <v>99</v>
      </c>
      <c r="B289" s="407" t="s">
        <v>52</v>
      </c>
      <c r="C289" s="408"/>
      <c r="D289" s="408"/>
      <c r="E289" s="408"/>
      <c r="F289" s="408"/>
      <c r="G289" s="408"/>
      <c r="H289" s="24"/>
      <c r="J289" s="8"/>
      <c r="K289" s="308" t="s">
        <v>151</v>
      </c>
      <c r="L289" s="40"/>
      <c r="M289" s="1"/>
    </row>
    <row r="290" spans="1:21" ht="15" x14ac:dyDescent="0.25">
      <c r="A290" s="229" t="s">
        <v>102</v>
      </c>
      <c r="B290" s="236"/>
      <c r="C290" s="24"/>
      <c r="D290" s="24"/>
      <c r="E290" s="24"/>
      <c r="F290" s="24"/>
      <c r="G290" s="24"/>
      <c r="H290" s="24"/>
      <c r="K290" s="308" t="s">
        <v>85</v>
      </c>
      <c r="L290" s="40"/>
      <c r="M290" s="1"/>
    </row>
    <row r="291" spans="1:21" ht="15" x14ac:dyDescent="0.25">
      <c r="A291" s="277" t="s">
        <v>104</v>
      </c>
      <c r="B291" s="236" t="s">
        <v>205</v>
      </c>
      <c r="C291" s="24"/>
      <c r="D291" s="24"/>
      <c r="E291" s="24"/>
      <c r="F291" s="24"/>
      <c r="G291" s="24"/>
      <c r="H291" s="24"/>
      <c r="K291" s="308" t="s">
        <v>85</v>
      </c>
      <c r="L291" s="40"/>
      <c r="M291" s="1"/>
    </row>
    <row r="292" spans="1:21" ht="15" x14ac:dyDescent="0.25">
      <c r="A292" s="277" t="s">
        <v>87</v>
      </c>
      <c r="B292" s="403" t="s">
        <v>155</v>
      </c>
      <c r="C292" s="404"/>
      <c r="D292" s="404"/>
      <c r="E292" s="404"/>
      <c r="F292" s="404"/>
      <c r="G292" s="404"/>
      <c r="H292" s="24"/>
      <c r="K292" s="308" t="s">
        <v>85</v>
      </c>
      <c r="L292" s="40"/>
      <c r="M292" s="1"/>
      <c r="T292"/>
      <c r="U292"/>
    </row>
    <row r="293" spans="1:21" ht="15" x14ac:dyDescent="0.25">
      <c r="A293" s="277" t="s">
        <v>110</v>
      </c>
      <c r="B293" s="236" t="s">
        <v>85</v>
      </c>
      <c r="C293" s="24"/>
      <c r="D293" s="24"/>
      <c r="E293" s="24"/>
      <c r="F293" s="24"/>
      <c r="G293" s="24"/>
      <c r="H293" s="24"/>
      <c r="K293" s="308" t="s">
        <v>85</v>
      </c>
      <c r="L293" s="40"/>
      <c r="M293" s="1"/>
      <c r="N293" s="23"/>
      <c r="O293" s="23"/>
      <c r="P293" s="23"/>
      <c r="Q293" s="23"/>
      <c r="R293" s="23"/>
      <c r="S293" s="23"/>
    </row>
    <row r="294" spans="1:21" ht="15" x14ac:dyDescent="0.25">
      <c r="A294" s="277" t="s">
        <v>138</v>
      </c>
      <c r="B294" s="236" t="s">
        <v>85</v>
      </c>
      <c r="C294" s="24"/>
      <c r="D294" s="24"/>
      <c r="E294" s="24"/>
      <c r="F294" s="24"/>
      <c r="G294" s="24"/>
      <c r="H294" s="24"/>
      <c r="K294" s="308" t="s">
        <v>85</v>
      </c>
      <c r="L294" s="40"/>
      <c r="M294" s="1"/>
    </row>
    <row r="295" spans="1:21" ht="15" x14ac:dyDescent="0.25">
      <c r="A295" s="277" t="s">
        <v>140</v>
      </c>
      <c r="B295" s="236" t="s">
        <v>85</v>
      </c>
      <c r="C295" s="24"/>
      <c r="D295" s="24"/>
      <c r="E295" s="24"/>
      <c r="F295" s="24"/>
      <c r="G295" s="24"/>
      <c r="H295" s="24"/>
      <c r="K295" s="308" t="s">
        <v>85</v>
      </c>
      <c r="L295" s="40"/>
      <c r="M295" s="1"/>
    </row>
    <row r="296" spans="1:21" ht="15" x14ac:dyDescent="0.25">
      <c r="A296" s="277" t="s">
        <v>142</v>
      </c>
      <c r="B296" s="236" t="s">
        <v>85</v>
      </c>
      <c r="C296" s="24"/>
      <c r="D296" s="24"/>
      <c r="E296" s="24"/>
      <c r="F296" s="24"/>
      <c r="G296" s="24"/>
      <c r="H296" s="24"/>
      <c r="K296" s="308" t="s">
        <v>85</v>
      </c>
      <c r="L296" s="40"/>
      <c r="M296" s="1"/>
    </row>
    <row r="297" spans="1:21" customFormat="1" ht="30" x14ac:dyDescent="0.25">
      <c r="A297" s="278" t="s">
        <v>144</v>
      </c>
      <c r="B297" s="236" t="str">
        <f>IF(B287=$N$5,"Yes","No")</f>
        <v>No</v>
      </c>
      <c r="C297" s="24"/>
      <c r="D297" s="24"/>
      <c r="E297" s="24"/>
      <c r="F297" s="24"/>
      <c r="G297" s="24"/>
      <c r="H297" s="231"/>
      <c r="I297" s="35"/>
      <c r="J297" s="2"/>
      <c r="K297" s="308" t="s">
        <v>85</v>
      </c>
      <c r="L297" s="40"/>
      <c r="M297" s="1"/>
      <c r="N297" s="2"/>
      <c r="O297" s="2"/>
      <c r="P297" s="2"/>
      <c r="Q297" s="2"/>
      <c r="R297" s="2"/>
      <c r="S297" s="2"/>
      <c r="T297" s="8"/>
      <c r="U297" s="8"/>
    </row>
    <row r="298" spans="1:21" ht="15" x14ac:dyDescent="0.25">
      <c r="A298" s="229" t="s">
        <v>121</v>
      </c>
      <c r="B298" s="403" t="s">
        <v>169</v>
      </c>
      <c r="C298" s="404"/>
      <c r="D298" s="404"/>
      <c r="E298" s="404"/>
      <c r="F298" s="404"/>
      <c r="G298" s="404"/>
      <c r="H298" s="24"/>
      <c r="J298" s="22"/>
      <c r="K298" s="308" t="s">
        <v>85</v>
      </c>
      <c r="L298" s="40"/>
      <c r="M298" s="1"/>
      <c r="N298" s="8"/>
      <c r="O298" s="8"/>
      <c r="P298" s="8"/>
      <c r="Q298" s="8"/>
      <c r="R298" s="8"/>
      <c r="S298" s="8"/>
    </row>
    <row r="299" spans="1:21" ht="15" thickBot="1" x14ac:dyDescent="0.25">
      <c r="A299" s="24"/>
      <c r="B299" s="236"/>
      <c r="C299" s="24"/>
      <c r="D299" s="24"/>
      <c r="E299" s="24"/>
      <c r="F299" s="24"/>
      <c r="G299" s="24"/>
      <c r="H299" s="24"/>
      <c r="K299" s="308" t="s">
        <v>85</v>
      </c>
      <c r="L299" s="40"/>
      <c r="M299" s="1"/>
    </row>
    <row r="300" spans="1:21" ht="15.75" thickBot="1" x14ac:dyDescent="0.3">
      <c r="A300" s="275" t="s">
        <v>219</v>
      </c>
      <c r="B300" s="401" t="s">
        <v>220</v>
      </c>
      <c r="C300" s="402"/>
      <c r="D300" s="402"/>
      <c r="E300" s="402"/>
      <c r="F300" s="402"/>
      <c r="G300" s="402"/>
      <c r="H300" s="402"/>
      <c r="K300" s="308" t="s">
        <v>85</v>
      </c>
      <c r="L300" s="40"/>
      <c r="M300" s="1"/>
    </row>
    <row r="301" spans="1:21" ht="15" x14ac:dyDescent="0.25">
      <c r="A301" s="229" t="s">
        <v>87</v>
      </c>
      <c r="B301" s="236" t="s">
        <v>116</v>
      </c>
      <c r="C301" s="24"/>
      <c r="D301" s="24"/>
      <c r="E301" s="24"/>
      <c r="F301" s="24"/>
      <c r="G301" s="24"/>
      <c r="H301" s="24"/>
      <c r="K301" s="308" t="s">
        <v>85</v>
      </c>
      <c r="L301" s="40"/>
      <c r="M301" s="1"/>
    </row>
    <row r="302" spans="1:21" s="8" customFormat="1" ht="29.25" x14ac:dyDescent="0.25">
      <c r="A302" s="276"/>
      <c r="B302" s="237" t="str">
        <f>CONCATENATE($O$2&amp;": "&amp;VLOOKUP($B301,$N$4:$U$27,2,0))</f>
        <v>Font: Arial</v>
      </c>
      <c r="C302" s="19" t="str">
        <f>CONCATENATE($P$2&amp;": "&amp;VLOOKUP($B301,$N$4:$U$27,3,0))</f>
        <v>T-face: Bold</v>
      </c>
      <c r="D302" s="19" t="str">
        <f>CONCATENATE($Q$2&amp;": "&amp;VLOOKUP($B301,$N$4:$U$27,4,0))</f>
        <v>Font size: 11</v>
      </c>
      <c r="E302" s="19" t="str">
        <f>CONCATENATE($R$2&amp;": "&amp;VLOOKUP($B301,$N$4:$U$27,5,0))</f>
        <v>Row height: 25</v>
      </c>
      <c r="F302" s="19" t="str">
        <f>CONCATENATE($S$2&amp;": "&amp;VLOOKUP($B301,$N$4:$U$27,6,0))</f>
        <v>Text col: Black</v>
      </c>
      <c r="G302" s="19" t="str">
        <f>CONCATENATE($T$2&amp;": "&amp;VLOOKUP($B301,$N$4:$U$27,7,0))</f>
        <v>BG col: White</v>
      </c>
      <c r="H302" s="19" t="str">
        <f>CONCATENATE($U$2&amp;": "&amp;VLOOKUP($B301,$N$4:$U$27,8,0))</f>
        <v>Just: Left</v>
      </c>
      <c r="I302" s="37"/>
      <c r="J302" s="2"/>
      <c r="K302" s="308" t="s">
        <v>85</v>
      </c>
      <c r="L302" s="40"/>
      <c r="M302" s="1"/>
      <c r="N302" s="2"/>
      <c r="O302" s="2"/>
      <c r="P302" s="2"/>
      <c r="Q302" s="2"/>
      <c r="R302" s="2"/>
      <c r="S302" s="2"/>
      <c r="T302" s="2"/>
      <c r="U302" s="2"/>
    </row>
    <row r="303" spans="1:21" ht="15" x14ac:dyDescent="0.25">
      <c r="A303" s="229" t="s">
        <v>99</v>
      </c>
      <c r="B303" s="236" t="s">
        <v>221</v>
      </c>
      <c r="C303" s="24"/>
      <c r="D303" s="24"/>
      <c r="E303" s="24"/>
      <c r="F303" s="24"/>
      <c r="G303" s="24"/>
      <c r="H303" s="24"/>
      <c r="J303" s="8"/>
      <c r="K303" s="308" t="s">
        <v>85</v>
      </c>
      <c r="L303" s="40"/>
      <c r="M303" s="1"/>
    </row>
    <row r="304" spans="1:21" ht="15" x14ac:dyDescent="0.25">
      <c r="A304" s="229" t="s">
        <v>102</v>
      </c>
      <c r="B304" s="407" t="s">
        <v>222</v>
      </c>
      <c r="C304" s="408"/>
      <c r="D304" s="408"/>
      <c r="E304" s="408"/>
      <c r="F304" s="408"/>
      <c r="G304" s="408"/>
      <c r="H304" s="24"/>
      <c r="K304" s="308" t="s">
        <v>151</v>
      </c>
      <c r="L304" s="40"/>
      <c r="M304" s="1"/>
    </row>
    <row r="305" spans="1:21" ht="15" x14ac:dyDescent="0.25">
      <c r="A305" s="277" t="s">
        <v>104</v>
      </c>
      <c r="B305" s="236" t="s">
        <v>223</v>
      </c>
      <c r="C305" s="24"/>
      <c r="D305" s="24"/>
      <c r="E305" s="24"/>
      <c r="F305" s="24"/>
      <c r="G305" s="24"/>
      <c r="H305" s="24"/>
      <c r="K305" s="308" t="s">
        <v>85</v>
      </c>
      <c r="L305" s="40"/>
      <c r="M305" s="1"/>
    </row>
    <row r="306" spans="1:21" ht="15" x14ac:dyDescent="0.25">
      <c r="A306" s="277" t="s">
        <v>87</v>
      </c>
      <c r="B306" s="403" t="s">
        <v>155</v>
      </c>
      <c r="C306" s="404"/>
      <c r="D306" s="404"/>
      <c r="E306" s="404"/>
      <c r="F306" s="404"/>
      <c r="G306" s="404"/>
      <c r="H306" s="24"/>
      <c r="K306" s="308" t="s">
        <v>85</v>
      </c>
      <c r="L306" s="40"/>
      <c r="M306" s="1"/>
      <c r="T306"/>
      <c r="U306"/>
    </row>
    <row r="307" spans="1:21" ht="15" x14ac:dyDescent="0.25">
      <c r="A307" s="277" t="s">
        <v>110</v>
      </c>
      <c r="B307" s="236" t="s">
        <v>85</v>
      </c>
      <c r="C307" s="24"/>
      <c r="D307" s="24"/>
      <c r="E307" s="24"/>
      <c r="F307" s="24"/>
      <c r="G307" s="24"/>
      <c r="H307" s="24"/>
      <c r="K307" s="308" t="s">
        <v>85</v>
      </c>
      <c r="L307" s="40"/>
      <c r="M307" s="1"/>
      <c r="N307" s="23"/>
      <c r="O307" s="23"/>
      <c r="P307" s="23"/>
      <c r="Q307" s="23"/>
      <c r="R307" s="23"/>
      <c r="S307" s="23"/>
    </row>
    <row r="308" spans="1:21" ht="15" x14ac:dyDescent="0.25">
      <c r="A308" s="277" t="s">
        <v>138</v>
      </c>
      <c r="B308" s="236" t="s">
        <v>85</v>
      </c>
      <c r="C308" s="24"/>
      <c r="D308" s="24"/>
      <c r="E308" s="24"/>
      <c r="F308" s="24"/>
      <c r="G308" s="24"/>
      <c r="H308" s="24"/>
      <c r="K308" s="308" t="s">
        <v>85</v>
      </c>
      <c r="L308" s="40"/>
      <c r="M308" s="1"/>
    </row>
    <row r="309" spans="1:21" ht="15" x14ac:dyDescent="0.25">
      <c r="A309" s="277" t="s">
        <v>140</v>
      </c>
      <c r="B309" s="236" t="s">
        <v>85</v>
      </c>
      <c r="C309" s="24"/>
      <c r="D309" s="24"/>
      <c r="E309" s="24"/>
      <c r="F309" s="24"/>
      <c r="G309" s="24"/>
      <c r="H309" s="24"/>
      <c r="K309" s="308" t="s">
        <v>85</v>
      </c>
      <c r="L309" s="40"/>
      <c r="M309" s="1"/>
    </row>
    <row r="310" spans="1:21" ht="15" x14ac:dyDescent="0.25">
      <c r="A310" s="277" t="s">
        <v>142</v>
      </c>
      <c r="B310" s="236" t="s">
        <v>85</v>
      </c>
      <c r="C310" s="24"/>
      <c r="D310" s="24"/>
      <c r="E310" s="24"/>
      <c r="F310" s="24"/>
      <c r="G310" s="24"/>
      <c r="H310" s="24"/>
      <c r="K310" s="308" t="s">
        <v>85</v>
      </c>
      <c r="L310" s="40"/>
      <c r="M310" s="1"/>
    </row>
    <row r="311" spans="1:21" customFormat="1" ht="30" x14ac:dyDescent="0.25">
      <c r="A311" s="278" t="s">
        <v>144</v>
      </c>
      <c r="B311" s="236" t="str">
        <f>IF(B301=$N$5,"Yes","No")</f>
        <v>No</v>
      </c>
      <c r="C311" s="24"/>
      <c r="D311" s="24"/>
      <c r="E311" s="24"/>
      <c r="F311" s="24"/>
      <c r="G311" s="24"/>
      <c r="H311" s="231"/>
      <c r="I311" s="35"/>
      <c r="J311" s="2"/>
      <c r="K311" s="308" t="s">
        <v>85</v>
      </c>
      <c r="L311" s="40"/>
      <c r="M311" s="1"/>
      <c r="N311" s="2"/>
      <c r="O311" s="2"/>
      <c r="P311" s="2"/>
      <c r="Q311" s="2"/>
      <c r="R311" s="2"/>
      <c r="S311" s="2"/>
      <c r="T311" s="8"/>
      <c r="U311" s="8"/>
    </row>
    <row r="312" spans="1:21" ht="15" x14ac:dyDescent="0.25">
      <c r="A312" s="229" t="s">
        <v>121</v>
      </c>
      <c r="B312" s="403" t="s">
        <v>169</v>
      </c>
      <c r="C312" s="404"/>
      <c r="D312" s="404"/>
      <c r="E312" s="404"/>
      <c r="F312" s="404"/>
      <c r="G312" s="404"/>
      <c r="H312" s="24"/>
      <c r="J312" s="22"/>
      <c r="K312" s="308" t="s">
        <v>85</v>
      </c>
      <c r="L312" s="40"/>
      <c r="M312" s="1"/>
      <c r="N312" s="8"/>
      <c r="O312" s="8"/>
      <c r="P312" s="8"/>
      <c r="Q312" s="8"/>
      <c r="R312" s="8"/>
      <c r="S312" s="8"/>
    </row>
    <row r="313" spans="1:21" ht="15" thickBot="1" x14ac:dyDescent="0.25">
      <c r="A313" s="24"/>
      <c r="B313" s="236"/>
      <c r="C313" s="24"/>
      <c r="D313" s="24"/>
      <c r="E313" s="24"/>
      <c r="F313" s="24"/>
      <c r="G313" s="24"/>
      <c r="H313" s="24"/>
      <c r="K313" s="308" t="s">
        <v>85</v>
      </c>
      <c r="L313" s="40"/>
      <c r="M313" s="1"/>
    </row>
    <row r="314" spans="1:21" ht="15.75" thickBot="1" x14ac:dyDescent="0.3">
      <c r="A314" s="275" t="s">
        <v>224</v>
      </c>
      <c r="B314" s="401" t="s">
        <v>225</v>
      </c>
      <c r="C314" s="402"/>
      <c r="D314" s="402"/>
      <c r="E314" s="402"/>
      <c r="F314" s="402"/>
      <c r="G314" s="402"/>
      <c r="H314" s="402"/>
      <c r="K314" s="308" t="s">
        <v>85</v>
      </c>
      <c r="L314" s="40"/>
      <c r="M314" s="1"/>
    </row>
    <row r="315" spans="1:21" ht="15" x14ac:dyDescent="0.25">
      <c r="A315" s="229" t="s">
        <v>87</v>
      </c>
      <c r="B315" s="236" t="s">
        <v>118</v>
      </c>
      <c r="C315" s="24"/>
      <c r="D315" s="24"/>
      <c r="E315" s="24"/>
      <c r="F315" s="24"/>
      <c r="G315" s="24"/>
      <c r="H315" s="24"/>
      <c r="K315" s="308" t="s">
        <v>85</v>
      </c>
      <c r="L315" s="40"/>
      <c r="M315" s="1"/>
    </row>
    <row r="316" spans="1:21" s="8" customFormat="1" ht="29.25" x14ac:dyDescent="0.25">
      <c r="A316" s="276"/>
      <c r="B316" s="237" t="str">
        <f>CONCATENATE($O$2&amp;": "&amp;VLOOKUP($B315,$N$4:$U$27,2,0))</f>
        <v>Font: Arial</v>
      </c>
      <c r="C316" s="19" t="str">
        <f>CONCATENATE($P$2&amp;": "&amp;VLOOKUP($B315,$N$4:$U$27,3,0))</f>
        <v>T-face: Normal</v>
      </c>
      <c r="D316" s="19" t="str">
        <f>CONCATENATE($Q$2&amp;": "&amp;VLOOKUP($B315,$N$4:$U$27,4,0))</f>
        <v>Font size: 11</v>
      </c>
      <c r="E316" s="19" t="str">
        <f>CONCATENATE($R$2&amp;": "&amp;VLOOKUP($B315,$N$4:$U$27,5,0))</f>
        <v>Row height: 15</v>
      </c>
      <c r="F316" s="19" t="str">
        <f>CONCATENATE($S$2&amp;": "&amp;VLOOKUP($B315,$N$4:$U$27,6,0))</f>
        <v>Text col: Black</v>
      </c>
      <c r="G316" s="19" t="str">
        <f>CONCATENATE($T$2&amp;": "&amp;VLOOKUP($B315,$N$4:$U$27,7,0))</f>
        <v>BG col: White</v>
      </c>
      <c r="H316" s="19" t="str">
        <f>CONCATENATE($U$2&amp;": "&amp;VLOOKUP($B315,$N$4:$U$27,8,0))</f>
        <v>Just: Left</v>
      </c>
      <c r="I316" s="37"/>
      <c r="J316" s="2"/>
      <c r="K316" s="308" t="s">
        <v>85</v>
      </c>
      <c r="L316" s="40"/>
      <c r="M316" s="1"/>
      <c r="N316" s="2"/>
      <c r="O316" s="2"/>
      <c r="P316" s="2"/>
      <c r="Q316" s="2"/>
      <c r="R316" s="2"/>
      <c r="S316" s="2"/>
      <c r="T316" s="2"/>
      <c r="U316" s="2"/>
    </row>
    <row r="317" spans="1:21" ht="15" x14ac:dyDescent="0.25">
      <c r="A317" s="229" t="s">
        <v>99</v>
      </c>
      <c r="B317" s="236" t="s">
        <v>226</v>
      </c>
      <c r="C317" s="24"/>
      <c r="D317" s="24"/>
      <c r="E317" s="24"/>
      <c r="F317" s="24"/>
      <c r="G317" s="24"/>
      <c r="H317" s="24"/>
      <c r="J317" s="8"/>
      <c r="K317" s="308" t="s">
        <v>85</v>
      </c>
      <c r="L317" s="40"/>
      <c r="M317" s="1"/>
    </row>
    <row r="318" spans="1:21" ht="15" x14ac:dyDescent="0.25">
      <c r="A318" s="229" t="s">
        <v>102</v>
      </c>
      <c r="B318" s="422" t="s">
        <v>227</v>
      </c>
      <c r="C318" s="423"/>
      <c r="D318" s="423"/>
      <c r="E318" s="423"/>
      <c r="F318" s="423"/>
      <c r="G318" s="423"/>
      <c r="H318" s="24"/>
      <c r="K318" s="308" t="s">
        <v>151</v>
      </c>
      <c r="L318" s="40"/>
      <c r="M318" s="1"/>
    </row>
    <row r="319" spans="1:21" ht="15" x14ac:dyDescent="0.25">
      <c r="A319" s="277" t="s">
        <v>104</v>
      </c>
      <c r="B319" s="236" t="s">
        <v>223</v>
      </c>
      <c r="C319" s="24"/>
      <c r="D319" s="24"/>
      <c r="E319" s="24"/>
      <c r="F319" s="24"/>
      <c r="G319" s="24"/>
      <c r="H319" s="24"/>
      <c r="K319" s="308" t="s">
        <v>85</v>
      </c>
      <c r="L319" s="40"/>
      <c r="M319" s="1"/>
    </row>
    <row r="320" spans="1:21" ht="15" x14ac:dyDescent="0.25">
      <c r="A320" s="277" t="s">
        <v>87</v>
      </c>
      <c r="B320" s="403" t="s">
        <v>155</v>
      </c>
      <c r="C320" s="404"/>
      <c r="D320" s="404"/>
      <c r="E320" s="404"/>
      <c r="F320" s="404"/>
      <c r="G320" s="404"/>
      <c r="H320" s="24"/>
      <c r="K320" s="308" t="s">
        <v>85</v>
      </c>
      <c r="L320" s="40"/>
      <c r="M320" s="1"/>
      <c r="T320"/>
      <c r="U320"/>
    </row>
    <row r="321" spans="1:21" ht="15" x14ac:dyDescent="0.25">
      <c r="A321" s="277" t="s">
        <v>110</v>
      </c>
      <c r="B321" s="236" t="s">
        <v>85</v>
      </c>
      <c r="C321" s="24"/>
      <c r="D321" s="24"/>
      <c r="E321" s="24"/>
      <c r="F321" s="24"/>
      <c r="G321" s="24"/>
      <c r="H321" s="24"/>
      <c r="K321" s="308" t="s">
        <v>85</v>
      </c>
      <c r="L321" s="40"/>
      <c r="M321" s="1"/>
      <c r="N321" s="23"/>
      <c r="O321" s="23"/>
      <c r="P321" s="23"/>
      <c r="Q321" s="23"/>
      <c r="R321" s="23"/>
      <c r="S321" s="23"/>
    </row>
    <row r="322" spans="1:21" ht="15" x14ac:dyDescent="0.25">
      <c r="A322" s="277" t="s">
        <v>138</v>
      </c>
      <c r="B322" s="236" t="s">
        <v>85</v>
      </c>
      <c r="C322" s="24"/>
      <c r="D322" s="24"/>
      <c r="E322" s="24"/>
      <c r="F322" s="24"/>
      <c r="G322" s="24"/>
      <c r="H322" s="24"/>
      <c r="K322" s="308" t="s">
        <v>85</v>
      </c>
      <c r="L322" s="40"/>
      <c r="M322" s="1"/>
    </row>
    <row r="323" spans="1:21" ht="15" x14ac:dyDescent="0.25">
      <c r="A323" s="277" t="s">
        <v>140</v>
      </c>
      <c r="B323" s="236" t="s">
        <v>85</v>
      </c>
      <c r="C323" s="24"/>
      <c r="D323" s="24"/>
      <c r="E323" s="24"/>
      <c r="F323" s="24"/>
      <c r="G323" s="24"/>
      <c r="H323" s="24"/>
      <c r="K323" s="308" t="s">
        <v>85</v>
      </c>
      <c r="L323" s="40"/>
      <c r="M323" s="1"/>
    </row>
    <row r="324" spans="1:21" ht="15" x14ac:dyDescent="0.25">
      <c r="A324" s="277" t="s">
        <v>142</v>
      </c>
      <c r="B324" s="236" t="s">
        <v>85</v>
      </c>
      <c r="C324" s="24"/>
      <c r="D324" s="24"/>
      <c r="E324" s="24"/>
      <c r="F324" s="24"/>
      <c r="G324" s="24"/>
      <c r="H324" s="24"/>
      <c r="K324" s="308" t="s">
        <v>85</v>
      </c>
      <c r="L324" s="40"/>
      <c r="M324" s="1"/>
    </row>
    <row r="325" spans="1:21" customFormat="1" ht="30" x14ac:dyDescent="0.25">
      <c r="A325" s="278" t="s">
        <v>144</v>
      </c>
      <c r="B325" s="236" t="str">
        <f>IF(B315=$N$5,"Yes","No")</f>
        <v>No</v>
      </c>
      <c r="C325" s="24"/>
      <c r="D325" s="24"/>
      <c r="E325" s="24"/>
      <c r="F325" s="24"/>
      <c r="G325" s="24"/>
      <c r="H325" s="231"/>
      <c r="I325" s="35"/>
      <c r="J325" s="2"/>
      <c r="K325" s="308" t="s">
        <v>85</v>
      </c>
      <c r="L325" s="40"/>
      <c r="M325" s="1"/>
      <c r="N325" s="2"/>
      <c r="O325" s="2"/>
      <c r="P325" s="2"/>
      <c r="Q325" s="2"/>
      <c r="R325" s="2"/>
      <c r="S325" s="2"/>
      <c r="T325" s="8"/>
      <c r="U325" s="8"/>
    </row>
    <row r="326" spans="1:21" ht="14.1" customHeight="1" x14ac:dyDescent="0.25">
      <c r="A326" s="229" t="s">
        <v>121</v>
      </c>
      <c r="B326" s="403" t="s">
        <v>206</v>
      </c>
      <c r="C326" s="404"/>
      <c r="D326" s="404"/>
      <c r="E326" s="404"/>
      <c r="F326" s="404"/>
      <c r="G326" s="404"/>
      <c r="H326" s="24"/>
      <c r="J326" s="22"/>
      <c r="K326" s="308" t="s">
        <v>85</v>
      </c>
      <c r="L326" s="40"/>
      <c r="M326" s="1"/>
      <c r="N326" s="8"/>
      <c r="O326" s="8"/>
      <c r="P326" s="8"/>
      <c r="Q326" s="8"/>
      <c r="R326" s="8"/>
      <c r="S326" s="8"/>
    </row>
    <row r="327" spans="1:21" ht="15" thickBot="1" x14ac:dyDescent="0.25">
      <c r="A327" s="24"/>
      <c r="B327" s="236"/>
      <c r="C327" s="24"/>
      <c r="D327" s="24"/>
      <c r="E327" s="24"/>
      <c r="F327" s="24"/>
      <c r="G327" s="24"/>
      <c r="H327" s="24"/>
      <c r="K327" s="308" t="s">
        <v>85</v>
      </c>
      <c r="L327" s="40"/>
      <c r="M327" s="1"/>
    </row>
    <row r="328" spans="1:21" ht="15.75" thickBot="1" x14ac:dyDescent="0.3">
      <c r="A328" s="275" t="s">
        <v>228</v>
      </c>
      <c r="B328" s="401" t="s">
        <v>229</v>
      </c>
      <c r="C328" s="402"/>
      <c r="D328" s="402"/>
      <c r="E328" s="402"/>
      <c r="F328" s="402"/>
      <c r="G328" s="402"/>
      <c r="H328" s="402"/>
      <c r="K328" s="308" t="s">
        <v>85</v>
      </c>
      <c r="L328" s="40"/>
      <c r="M328" s="1"/>
    </row>
    <row r="329" spans="1:21" ht="15" x14ac:dyDescent="0.25">
      <c r="A329" s="229" t="s">
        <v>87</v>
      </c>
      <c r="B329" s="236" t="s">
        <v>118</v>
      </c>
      <c r="C329" s="24"/>
      <c r="D329" s="24"/>
      <c r="E329" s="24"/>
      <c r="F329" s="24"/>
      <c r="G329" s="24"/>
      <c r="H329" s="24"/>
      <c r="K329" s="308" t="s">
        <v>85</v>
      </c>
      <c r="L329" s="40"/>
      <c r="M329" s="1"/>
    </row>
    <row r="330" spans="1:21" s="8" customFormat="1" ht="29.25" x14ac:dyDescent="0.25">
      <c r="A330" s="276"/>
      <c r="B330" s="237" t="str">
        <f>CONCATENATE($O$2&amp;": "&amp;VLOOKUP($B329,$N$4:$U$27,2,0))</f>
        <v>Font: Arial</v>
      </c>
      <c r="C330" s="19" t="str">
        <f>CONCATENATE($P$2&amp;": "&amp;VLOOKUP($B329,$N$4:$U$27,3,0))</f>
        <v>T-face: Normal</v>
      </c>
      <c r="D330" s="19" t="str">
        <f>CONCATENATE($Q$2&amp;": "&amp;VLOOKUP($B329,$N$4:$U$27,4,0))</f>
        <v>Font size: 11</v>
      </c>
      <c r="E330" s="19" t="str">
        <f>CONCATENATE($R$2&amp;": "&amp;VLOOKUP($B329,$N$4:$U$27,5,0))</f>
        <v>Row height: 15</v>
      </c>
      <c r="F330" s="19" t="str">
        <f>CONCATENATE($S$2&amp;": "&amp;VLOOKUP($B329,$N$4:$U$27,6,0))</f>
        <v>Text col: Black</v>
      </c>
      <c r="G330" s="19" t="str">
        <f>CONCATENATE($T$2&amp;": "&amp;VLOOKUP($B329,$N$4:$U$27,7,0))</f>
        <v>BG col: White</v>
      </c>
      <c r="H330" s="19" t="str">
        <f>CONCATENATE($U$2&amp;": "&amp;VLOOKUP($B329,$N$4:$U$27,8,0))</f>
        <v>Just: Left</v>
      </c>
      <c r="I330" s="37"/>
      <c r="J330" s="2"/>
      <c r="K330" s="308" t="s">
        <v>85</v>
      </c>
      <c r="L330" s="40"/>
      <c r="M330" s="1"/>
      <c r="N330" s="2"/>
      <c r="O330" s="2"/>
      <c r="P330" s="2"/>
      <c r="Q330" s="2"/>
      <c r="R330" s="2"/>
      <c r="S330" s="2"/>
      <c r="T330" s="2"/>
      <c r="U330" s="2"/>
    </row>
    <row r="331" spans="1:21" ht="15" x14ac:dyDescent="0.25">
      <c r="A331" s="229" t="s">
        <v>99</v>
      </c>
      <c r="B331" s="236" t="s">
        <v>230</v>
      </c>
      <c r="C331" s="24"/>
      <c r="D331" s="24"/>
      <c r="E331" s="24"/>
      <c r="F331" s="24"/>
      <c r="G331" s="24"/>
      <c r="H331" s="24"/>
      <c r="J331" s="8"/>
      <c r="K331" s="308" t="s">
        <v>85</v>
      </c>
      <c r="L331" s="40"/>
      <c r="M331" s="1"/>
    </row>
    <row r="332" spans="1:21" ht="15" x14ac:dyDescent="0.25">
      <c r="A332" s="229" t="s">
        <v>102</v>
      </c>
      <c r="B332" s="236" t="s">
        <v>231</v>
      </c>
      <c r="C332" s="24"/>
      <c r="D332" s="24"/>
      <c r="E332" s="24"/>
      <c r="F332" s="24"/>
      <c r="G332" s="24"/>
      <c r="H332" s="24"/>
      <c r="K332" s="308" t="s">
        <v>151</v>
      </c>
      <c r="L332" s="40"/>
      <c r="M332" s="1"/>
    </row>
    <row r="333" spans="1:21" ht="15" x14ac:dyDescent="0.25">
      <c r="A333" s="277" t="s">
        <v>104</v>
      </c>
      <c r="B333" s="236" t="s">
        <v>223</v>
      </c>
      <c r="C333" s="24"/>
      <c r="D333" s="24"/>
      <c r="E333" s="24"/>
      <c r="F333" s="24"/>
      <c r="G333" s="24"/>
      <c r="H333" s="24"/>
      <c r="K333" s="308" t="s">
        <v>85</v>
      </c>
      <c r="L333" s="40"/>
      <c r="M333" s="1"/>
    </row>
    <row r="334" spans="1:21" ht="15" x14ac:dyDescent="0.25">
      <c r="A334" s="277" t="s">
        <v>87</v>
      </c>
      <c r="B334" s="403" t="s">
        <v>155</v>
      </c>
      <c r="C334" s="404"/>
      <c r="D334" s="404"/>
      <c r="E334" s="404"/>
      <c r="F334" s="404"/>
      <c r="G334" s="404"/>
      <c r="H334" s="24"/>
      <c r="K334" s="308" t="s">
        <v>85</v>
      </c>
      <c r="L334" s="40"/>
      <c r="M334" s="1"/>
      <c r="T334"/>
      <c r="U334"/>
    </row>
    <row r="335" spans="1:21" ht="15" x14ac:dyDescent="0.25">
      <c r="A335" s="277" t="s">
        <v>110</v>
      </c>
      <c r="B335" s="236" t="s">
        <v>85</v>
      </c>
      <c r="C335" s="24"/>
      <c r="D335" s="24"/>
      <c r="E335" s="24"/>
      <c r="F335" s="24"/>
      <c r="G335" s="24"/>
      <c r="H335" s="24"/>
      <c r="K335" s="308" t="s">
        <v>85</v>
      </c>
      <c r="L335" s="40"/>
      <c r="M335" s="1"/>
      <c r="N335" s="23"/>
      <c r="O335" s="23"/>
      <c r="P335" s="23"/>
      <c r="Q335" s="23"/>
      <c r="R335" s="23"/>
      <c r="S335" s="23"/>
    </row>
    <row r="336" spans="1:21" ht="15" x14ac:dyDescent="0.25">
      <c r="A336" s="277" t="s">
        <v>138</v>
      </c>
      <c r="B336" s="236" t="s">
        <v>85</v>
      </c>
      <c r="C336" s="24"/>
      <c r="D336" s="24"/>
      <c r="E336" s="24"/>
      <c r="F336" s="24"/>
      <c r="G336" s="24"/>
      <c r="H336" s="24"/>
      <c r="K336" s="308" t="s">
        <v>85</v>
      </c>
      <c r="L336" s="40"/>
      <c r="M336" s="1"/>
    </row>
    <row r="337" spans="1:21" ht="15" x14ac:dyDescent="0.25">
      <c r="A337" s="277" t="s">
        <v>140</v>
      </c>
      <c r="B337" s="236" t="s">
        <v>85</v>
      </c>
      <c r="C337" s="24"/>
      <c r="D337" s="24"/>
      <c r="E337" s="24"/>
      <c r="F337" s="24"/>
      <c r="G337" s="24"/>
      <c r="H337" s="24"/>
      <c r="K337" s="308" t="s">
        <v>85</v>
      </c>
      <c r="L337" s="40"/>
      <c r="M337" s="1"/>
    </row>
    <row r="338" spans="1:21" ht="15" x14ac:dyDescent="0.25">
      <c r="A338" s="277" t="s">
        <v>142</v>
      </c>
      <c r="B338" s="236" t="s">
        <v>85</v>
      </c>
      <c r="C338" s="24"/>
      <c r="D338" s="24"/>
      <c r="E338" s="24"/>
      <c r="F338" s="24"/>
      <c r="G338" s="24"/>
      <c r="H338" s="24"/>
      <c r="K338" s="308" t="s">
        <v>85</v>
      </c>
      <c r="L338" s="40"/>
      <c r="M338" s="1"/>
    </row>
    <row r="339" spans="1:21" customFormat="1" ht="30" x14ac:dyDescent="0.25">
      <c r="A339" s="278" t="s">
        <v>144</v>
      </c>
      <c r="B339" s="236" t="str">
        <f>IF(B329=$N$5,"Yes","No")</f>
        <v>No</v>
      </c>
      <c r="C339" s="24"/>
      <c r="D339" s="24"/>
      <c r="E339" s="24"/>
      <c r="F339" s="24"/>
      <c r="G339" s="24"/>
      <c r="H339" s="231"/>
      <c r="I339" s="35"/>
      <c r="J339" s="2"/>
      <c r="K339" s="308" t="s">
        <v>85</v>
      </c>
      <c r="L339" s="40"/>
      <c r="M339" s="1"/>
      <c r="N339" s="2"/>
      <c r="O339" s="2"/>
      <c r="P339" s="2"/>
      <c r="Q339" s="2"/>
      <c r="R339" s="2"/>
      <c r="S339" s="2"/>
      <c r="T339" s="8"/>
      <c r="U339" s="8"/>
    </row>
    <row r="340" spans="1:21" ht="14.1" customHeight="1" x14ac:dyDescent="0.25">
      <c r="A340" s="229" t="s">
        <v>121</v>
      </c>
      <c r="B340" s="403" t="s">
        <v>206</v>
      </c>
      <c r="C340" s="404"/>
      <c r="D340" s="404"/>
      <c r="E340" s="404"/>
      <c r="F340" s="404"/>
      <c r="G340" s="404"/>
      <c r="H340" s="24"/>
      <c r="J340" s="22"/>
      <c r="K340" s="308" t="s">
        <v>85</v>
      </c>
      <c r="L340" s="40"/>
      <c r="M340" s="1"/>
      <c r="N340" s="8"/>
      <c r="O340" s="8"/>
      <c r="P340" s="8"/>
      <c r="Q340" s="8"/>
      <c r="R340" s="8"/>
      <c r="S340" s="8"/>
    </row>
    <row r="341" spans="1:21" ht="15" thickBot="1" x14ac:dyDescent="0.25">
      <c r="A341" s="24"/>
      <c r="B341" s="236"/>
      <c r="C341" s="24"/>
      <c r="D341" s="24"/>
      <c r="E341" s="24"/>
      <c r="F341" s="24"/>
      <c r="G341" s="24"/>
      <c r="H341" s="24"/>
      <c r="K341" s="308" t="s">
        <v>85</v>
      </c>
      <c r="L341" s="40"/>
      <c r="M341" s="1"/>
    </row>
    <row r="342" spans="1:21" ht="15.75" thickBot="1" x14ac:dyDescent="0.3">
      <c r="A342" s="275" t="s">
        <v>232</v>
      </c>
      <c r="B342" s="401" t="s">
        <v>233</v>
      </c>
      <c r="C342" s="402"/>
      <c r="D342" s="402"/>
      <c r="E342" s="402"/>
      <c r="F342" s="402"/>
      <c r="G342" s="402"/>
      <c r="H342" s="402"/>
      <c r="K342" s="308" t="s">
        <v>85</v>
      </c>
      <c r="L342" s="40"/>
      <c r="M342" s="1"/>
    </row>
    <row r="343" spans="1:21" ht="15" x14ac:dyDescent="0.25">
      <c r="A343" s="229" t="s">
        <v>87</v>
      </c>
      <c r="B343" s="236" t="s">
        <v>135</v>
      </c>
      <c r="C343" s="24"/>
      <c r="D343" s="24"/>
      <c r="E343" s="24"/>
      <c r="F343" s="24"/>
      <c r="G343" s="24"/>
      <c r="H343" s="24"/>
      <c r="K343" s="308" t="s">
        <v>85</v>
      </c>
      <c r="L343" s="40"/>
      <c r="M343" s="1"/>
    </row>
    <row r="344" spans="1:21" s="8" customFormat="1" ht="15" x14ac:dyDescent="0.25">
      <c r="A344" s="276"/>
      <c r="B344" s="237" t="str">
        <f>CONCATENATE($O$2&amp;": "&amp;VLOOKUP($B343,$N$4:$U$27,2,0))</f>
        <v>Font: Arial</v>
      </c>
      <c r="C344" s="19" t="str">
        <f>CONCATENATE($P$2&amp;": "&amp;VLOOKUP($B343,$N$4:$U$27,3,0))</f>
        <v>T-face: Bold</v>
      </c>
      <c r="D344" s="19" t="str">
        <f>CONCATENATE($Q$2&amp;": "&amp;VLOOKUP($B343,$N$4:$U$27,4,0))</f>
        <v>Font size: 11</v>
      </c>
      <c r="E344" s="19" t="str">
        <f>CONCATENATE($R$2&amp;": "&amp;VLOOKUP($B343,$N$4:$U$27,5,0))</f>
        <v>Row height: 26.5</v>
      </c>
      <c r="F344" s="19" t="str">
        <f>CONCATENATE($S$2&amp;": "&amp;VLOOKUP($B343,$N$4:$U$27,6,0))</f>
        <v>Text col: Blue</v>
      </c>
      <c r="G344" s="19" t="str">
        <f>CONCATENATE($T$2&amp;": "&amp;VLOOKUP($B343,$N$4:$U$27,7,0))</f>
        <v>BG col: White</v>
      </c>
      <c r="H344" s="19" t="str">
        <f>CONCATENATE($U$2&amp;": "&amp;VLOOKUP($B343,$N$4:$U$27,8,0))</f>
        <v>Just: Left</v>
      </c>
      <c r="I344" s="37"/>
      <c r="J344" s="2"/>
      <c r="K344" s="308" t="s">
        <v>85</v>
      </c>
      <c r="L344" s="40"/>
      <c r="M344" s="1"/>
      <c r="N344" s="2"/>
      <c r="O344" s="2"/>
      <c r="P344" s="2"/>
      <c r="Q344" s="2"/>
      <c r="R344" s="2"/>
      <c r="S344" s="2"/>
      <c r="T344" s="2"/>
      <c r="U344" s="2"/>
    </row>
    <row r="345" spans="1:21" ht="15" x14ac:dyDescent="0.25">
      <c r="A345" s="229" t="s">
        <v>99</v>
      </c>
      <c r="B345" s="236" t="s">
        <v>234</v>
      </c>
      <c r="C345" s="24"/>
      <c r="D345" s="24"/>
      <c r="E345" s="24"/>
      <c r="F345" s="24"/>
      <c r="G345" s="24"/>
      <c r="H345" s="24"/>
      <c r="J345" s="8"/>
      <c r="K345" s="308" t="s">
        <v>85</v>
      </c>
      <c r="L345" s="40"/>
      <c r="M345" s="1"/>
    </row>
    <row r="346" spans="1:21" ht="15" x14ac:dyDescent="0.25">
      <c r="A346" s="229" t="s">
        <v>102</v>
      </c>
      <c r="B346" s="407" t="s">
        <v>235</v>
      </c>
      <c r="C346" s="408"/>
      <c r="D346" s="408"/>
      <c r="E346" s="408"/>
      <c r="F346" s="408"/>
      <c r="G346" s="408"/>
      <c r="H346" s="24"/>
      <c r="K346" s="308" t="s">
        <v>151</v>
      </c>
      <c r="L346" s="40"/>
      <c r="M346" s="1"/>
    </row>
    <row r="347" spans="1:21" ht="15" x14ac:dyDescent="0.25">
      <c r="A347" s="277" t="s">
        <v>104</v>
      </c>
      <c r="B347" s="236" t="s">
        <v>236</v>
      </c>
      <c r="C347" s="24"/>
      <c r="D347" s="24"/>
      <c r="E347" s="24"/>
      <c r="F347" s="24"/>
      <c r="G347" s="24"/>
      <c r="H347" s="24"/>
      <c r="K347" s="308" t="s">
        <v>85</v>
      </c>
      <c r="L347" s="40"/>
      <c r="M347" s="1"/>
    </row>
    <row r="348" spans="1:21" ht="15" x14ac:dyDescent="0.25">
      <c r="A348" s="277" t="s">
        <v>87</v>
      </c>
      <c r="B348" s="403" t="s">
        <v>155</v>
      </c>
      <c r="C348" s="404"/>
      <c r="D348" s="404"/>
      <c r="E348" s="404"/>
      <c r="F348" s="404"/>
      <c r="G348" s="404"/>
      <c r="H348" s="24"/>
      <c r="K348" s="308" t="s">
        <v>85</v>
      </c>
      <c r="L348" s="40"/>
      <c r="M348" s="1"/>
      <c r="T348"/>
      <c r="U348"/>
    </row>
    <row r="349" spans="1:21" ht="15" x14ac:dyDescent="0.25">
      <c r="A349" s="277" t="s">
        <v>110</v>
      </c>
      <c r="B349" s="236" t="s">
        <v>85</v>
      </c>
      <c r="C349" s="24"/>
      <c r="D349" s="24"/>
      <c r="E349" s="24"/>
      <c r="F349" s="24"/>
      <c r="G349" s="24"/>
      <c r="H349" s="24"/>
      <c r="K349" s="308" t="s">
        <v>85</v>
      </c>
      <c r="L349" s="40"/>
      <c r="M349" s="1"/>
      <c r="N349" s="23"/>
      <c r="O349" s="23"/>
      <c r="P349" s="23"/>
      <c r="Q349" s="23"/>
      <c r="R349" s="23"/>
      <c r="S349" s="23"/>
    </row>
    <row r="350" spans="1:21" ht="15" x14ac:dyDescent="0.25">
      <c r="A350" s="277" t="s">
        <v>138</v>
      </c>
      <c r="B350" s="236" t="s">
        <v>85</v>
      </c>
      <c r="C350" s="24"/>
      <c r="D350" s="24"/>
      <c r="E350" s="24"/>
      <c r="F350" s="24"/>
      <c r="G350" s="24"/>
      <c r="H350" s="24"/>
      <c r="K350" s="308" t="s">
        <v>85</v>
      </c>
      <c r="L350" s="40"/>
      <c r="M350" s="1"/>
    </row>
    <row r="351" spans="1:21" ht="15" x14ac:dyDescent="0.25">
      <c r="A351" s="277" t="s">
        <v>140</v>
      </c>
      <c r="B351" s="236" t="s">
        <v>85</v>
      </c>
      <c r="C351" s="24"/>
      <c r="D351" s="24"/>
      <c r="E351" s="24"/>
      <c r="F351" s="24"/>
      <c r="G351" s="24"/>
      <c r="H351" s="24"/>
      <c r="K351" s="308" t="s">
        <v>85</v>
      </c>
      <c r="L351" s="40"/>
      <c r="M351" s="1"/>
    </row>
    <row r="352" spans="1:21" ht="15" x14ac:dyDescent="0.25">
      <c r="A352" s="277" t="s">
        <v>142</v>
      </c>
      <c r="B352" s="236" t="s">
        <v>85</v>
      </c>
      <c r="C352" s="24"/>
      <c r="D352" s="24"/>
      <c r="E352" s="24"/>
      <c r="F352" s="24"/>
      <c r="G352" s="24"/>
      <c r="H352" s="24"/>
      <c r="K352" s="308" t="s">
        <v>85</v>
      </c>
      <c r="L352" s="40"/>
      <c r="M352" s="1"/>
    </row>
    <row r="353" spans="1:21" customFormat="1" ht="30" x14ac:dyDescent="0.25">
      <c r="A353" s="278" t="s">
        <v>144</v>
      </c>
      <c r="B353" s="236" t="str">
        <f>IF(B343=$N$5,"Yes","No")</f>
        <v>No</v>
      </c>
      <c r="C353" s="24"/>
      <c r="D353" s="24"/>
      <c r="E353" s="24"/>
      <c r="F353" s="24"/>
      <c r="G353" s="24"/>
      <c r="H353" s="231"/>
      <c r="I353" s="35"/>
      <c r="J353" s="2"/>
      <c r="K353" s="308" t="s">
        <v>85</v>
      </c>
      <c r="L353" s="40"/>
      <c r="M353" s="1"/>
      <c r="N353" s="2"/>
      <c r="O353" s="2"/>
      <c r="P353" s="2"/>
      <c r="Q353" s="2"/>
      <c r="R353" s="2"/>
      <c r="S353" s="2"/>
      <c r="T353" s="8"/>
      <c r="U353" s="8"/>
    </row>
    <row r="354" spans="1:21" ht="15" x14ac:dyDescent="0.25">
      <c r="A354" s="229" t="s">
        <v>121</v>
      </c>
      <c r="B354" s="403" t="s">
        <v>237</v>
      </c>
      <c r="C354" s="404"/>
      <c r="D354" s="404"/>
      <c r="E354" s="404"/>
      <c r="F354" s="404"/>
      <c r="G354" s="404"/>
      <c r="H354" s="24"/>
      <c r="J354" s="22"/>
      <c r="K354" s="308" t="s">
        <v>85</v>
      </c>
      <c r="L354" s="40"/>
      <c r="M354" s="1"/>
      <c r="N354" s="8"/>
      <c r="O354" s="8"/>
      <c r="P354" s="8"/>
      <c r="Q354" s="8"/>
      <c r="R354" s="8"/>
      <c r="S354" s="8"/>
    </row>
    <row r="355" spans="1:21" ht="15" thickBot="1" x14ac:dyDescent="0.25">
      <c r="A355" s="24"/>
      <c r="B355" s="236"/>
      <c r="C355" s="24"/>
      <c r="D355" s="24"/>
      <c r="E355" s="24"/>
      <c r="F355" s="24"/>
      <c r="G355" s="24"/>
      <c r="H355" s="24"/>
      <c r="K355" s="308" t="s">
        <v>85</v>
      </c>
      <c r="L355" s="40"/>
      <c r="M355" s="1"/>
    </row>
    <row r="356" spans="1:21" ht="15.75" thickBot="1" x14ac:dyDescent="0.3">
      <c r="A356" s="275" t="s">
        <v>238</v>
      </c>
      <c r="B356" s="401" t="s">
        <v>239</v>
      </c>
      <c r="C356" s="402"/>
      <c r="D356" s="402"/>
      <c r="E356" s="402"/>
      <c r="F356" s="402"/>
      <c r="G356" s="402"/>
      <c r="H356" s="402"/>
      <c r="K356" s="308" t="s">
        <v>85</v>
      </c>
      <c r="L356" s="40"/>
      <c r="M356" s="1"/>
    </row>
    <row r="357" spans="1:21" ht="15" x14ac:dyDescent="0.25">
      <c r="A357" s="229" t="s">
        <v>87</v>
      </c>
      <c r="B357" s="236" t="s">
        <v>124</v>
      </c>
      <c r="C357" s="24"/>
      <c r="D357" s="24"/>
      <c r="E357" s="24"/>
      <c r="F357" s="24"/>
      <c r="G357" s="24"/>
      <c r="H357" s="24"/>
      <c r="K357" s="308" t="s">
        <v>85</v>
      </c>
      <c r="L357" s="40"/>
      <c r="M357" s="1"/>
    </row>
    <row r="358" spans="1:21" s="8" customFormat="1" ht="29.25" x14ac:dyDescent="0.25">
      <c r="A358" s="276"/>
      <c r="B358" s="237" t="str">
        <f>CONCATENATE($O$2&amp;": "&amp;VLOOKUP($B357,$N$4:$U$27,2,0))</f>
        <v>Font: Arial</v>
      </c>
      <c r="C358" s="19" t="str">
        <f>CONCATENATE($P$2&amp;": "&amp;VLOOKUP($B357,$N$4:$U$27,3,0))</f>
        <v>T-face: Normal</v>
      </c>
      <c r="D358" s="19" t="str">
        <f>CONCATENATE($Q$2&amp;": "&amp;VLOOKUP($B357,$N$4:$U$27,4,0))</f>
        <v>Font size: 11</v>
      </c>
      <c r="E358" s="19" t="str">
        <f>CONCATENATE($R$2&amp;": "&amp;VLOOKUP($B357,$N$4:$U$27,5,0))</f>
        <v>Row height: 26.5</v>
      </c>
      <c r="F358" s="19" t="str">
        <f>CONCATENATE($S$2&amp;": "&amp;VLOOKUP($B357,$N$4:$U$27,6,0))</f>
        <v>Text col: Black</v>
      </c>
      <c r="G358" s="19" t="str">
        <f>CONCATENATE($T$2&amp;": "&amp;VLOOKUP($B357,$N$4:$U$27,7,0))</f>
        <v>BG col: White</v>
      </c>
      <c r="H358" s="19" t="str">
        <f>CONCATENATE($U$2&amp;": "&amp;VLOOKUP($B357,$N$4:$U$27,8,0))</f>
        <v>Just: Left</v>
      </c>
      <c r="I358" s="37"/>
      <c r="J358" s="2"/>
      <c r="K358" s="308" t="s">
        <v>85</v>
      </c>
      <c r="L358" s="40"/>
      <c r="M358" s="1"/>
      <c r="N358" s="2"/>
      <c r="O358" s="2"/>
      <c r="P358" s="2"/>
      <c r="Q358" s="2"/>
      <c r="R358" s="2"/>
      <c r="S358" s="2"/>
      <c r="T358" s="2"/>
      <c r="U358" s="2"/>
    </row>
    <row r="359" spans="1:21" ht="15" x14ac:dyDescent="0.25">
      <c r="A359" s="229" t="s">
        <v>99</v>
      </c>
      <c r="B359" s="236" t="s">
        <v>240</v>
      </c>
      <c r="C359" s="24"/>
      <c r="D359" s="24"/>
      <c r="E359" s="24"/>
      <c r="F359" s="24"/>
      <c r="G359" s="24"/>
      <c r="H359" s="24"/>
      <c r="J359" s="8"/>
      <c r="K359" s="308" t="s">
        <v>85</v>
      </c>
      <c r="L359" s="40"/>
      <c r="M359" s="1"/>
    </row>
    <row r="360" spans="1:21" ht="15" x14ac:dyDescent="0.25">
      <c r="A360" s="229" t="s">
        <v>102</v>
      </c>
      <c r="B360" s="238" t="s">
        <v>241</v>
      </c>
      <c r="C360" s="39"/>
      <c r="D360" s="39"/>
      <c r="E360" s="39"/>
      <c r="F360" s="39"/>
      <c r="G360" s="39"/>
      <c r="H360" s="24"/>
      <c r="K360" s="308" t="s">
        <v>151</v>
      </c>
      <c r="L360" s="40"/>
      <c r="M360" s="1"/>
    </row>
    <row r="361" spans="1:21" ht="15" x14ac:dyDescent="0.25">
      <c r="A361" s="277" t="s">
        <v>104</v>
      </c>
      <c r="B361" s="236" t="s">
        <v>242</v>
      </c>
      <c r="C361" s="24"/>
      <c r="D361" s="24"/>
      <c r="E361" s="24"/>
      <c r="F361" s="24"/>
      <c r="G361" s="24"/>
      <c r="H361" s="24"/>
      <c r="K361" s="308" t="s">
        <v>85</v>
      </c>
      <c r="L361" s="40"/>
      <c r="M361" s="1"/>
    </row>
    <row r="362" spans="1:21" ht="15" x14ac:dyDescent="0.25">
      <c r="A362" s="277" t="s">
        <v>87</v>
      </c>
      <c r="B362" s="403" t="s">
        <v>155</v>
      </c>
      <c r="C362" s="404"/>
      <c r="D362" s="404"/>
      <c r="E362" s="404"/>
      <c r="F362" s="404"/>
      <c r="G362" s="404"/>
      <c r="H362" s="24"/>
      <c r="K362" s="308" t="s">
        <v>85</v>
      </c>
      <c r="L362" s="40"/>
      <c r="M362" s="1"/>
      <c r="T362"/>
      <c r="U362"/>
    </row>
    <row r="363" spans="1:21" ht="15" x14ac:dyDescent="0.25">
      <c r="A363" s="277" t="s">
        <v>110</v>
      </c>
      <c r="B363" s="236" t="s">
        <v>85</v>
      </c>
      <c r="C363" s="24"/>
      <c r="D363" s="24"/>
      <c r="E363" s="24"/>
      <c r="F363" s="24"/>
      <c r="G363" s="24"/>
      <c r="H363" s="24"/>
      <c r="K363" s="308" t="s">
        <v>85</v>
      </c>
      <c r="L363" s="40"/>
      <c r="M363" s="1"/>
      <c r="N363" s="23"/>
      <c r="O363" s="23"/>
      <c r="P363" s="23"/>
      <c r="Q363" s="23"/>
      <c r="R363" s="23"/>
      <c r="S363" s="23"/>
    </row>
    <row r="364" spans="1:21" ht="15" x14ac:dyDescent="0.25">
      <c r="A364" s="277" t="s">
        <v>138</v>
      </c>
      <c r="B364" s="236" t="s">
        <v>85</v>
      </c>
      <c r="C364" s="24"/>
      <c r="D364" s="24"/>
      <c r="E364" s="24"/>
      <c r="F364" s="24"/>
      <c r="G364" s="24"/>
      <c r="H364" s="24"/>
      <c r="K364" s="308" t="s">
        <v>85</v>
      </c>
      <c r="L364" s="40"/>
      <c r="M364" s="1"/>
    </row>
    <row r="365" spans="1:21" ht="15" x14ac:dyDescent="0.25">
      <c r="A365" s="277" t="s">
        <v>140</v>
      </c>
      <c r="B365" s="236" t="s">
        <v>85</v>
      </c>
      <c r="C365" s="24"/>
      <c r="D365" s="24"/>
      <c r="E365" s="24"/>
      <c r="F365" s="24"/>
      <c r="G365" s="24"/>
      <c r="H365" s="24"/>
      <c r="K365" s="308" t="s">
        <v>85</v>
      </c>
      <c r="L365" s="40"/>
      <c r="M365" s="1"/>
    </row>
    <row r="366" spans="1:21" ht="15" x14ac:dyDescent="0.25">
      <c r="A366" s="277" t="s">
        <v>142</v>
      </c>
      <c r="B366" s="236" t="s">
        <v>85</v>
      </c>
      <c r="C366" s="24"/>
      <c r="D366" s="24"/>
      <c r="E366" s="24"/>
      <c r="F366" s="24"/>
      <c r="G366" s="24"/>
      <c r="H366" s="24"/>
      <c r="K366" s="308" t="s">
        <v>85</v>
      </c>
      <c r="L366" s="40"/>
      <c r="M366" s="1"/>
    </row>
    <row r="367" spans="1:21" customFormat="1" ht="30" x14ac:dyDescent="0.25">
      <c r="A367" s="278" t="s">
        <v>144</v>
      </c>
      <c r="B367" s="236" t="str">
        <f>IF(B357=$N$5,"Yes","No")</f>
        <v>No</v>
      </c>
      <c r="C367" s="24"/>
      <c r="D367" s="24"/>
      <c r="E367" s="24"/>
      <c r="F367" s="24"/>
      <c r="G367" s="24"/>
      <c r="H367" s="231"/>
      <c r="I367" s="35"/>
      <c r="J367" s="2"/>
      <c r="K367" s="308" t="s">
        <v>85</v>
      </c>
      <c r="L367" s="40"/>
      <c r="M367" s="1"/>
      <c r="N367" s="2"/>
      <c r="O367" s="2"/>
      <c r="P367" s="2"/>
      <c r="Q367" s="2"/>
      <c r="R367" s="2"/>
      <c r="S367" s="2"/>
      <c r="T367" s="8"/>
      <c r="U367" s="8"/>
    </row>
    <row r="368" spans="1:21" ht="15" x14ac:dyDescent="0.25">
      <c r="A368" s="229" t="s">
        <v>121</v>
      </c>
      <c r="B368" s="403" t="s">
        <v>243</v>
      </c>
      <c r="C368" s="404"/>
      <c r="D368" s="404"/>
      <c r="E368" s="404"/>
      <c r="F368" s="404"/>
      <c r="G368" s="404"/>
      <c r="H368" s="24"/>
      <c r="J368" s="22"/>
      <c r="K368" s="308" t="s">
        <v>85</v>
      </c>
      <c r="L368" s="40"/>
      <c r="M368" s="1"/>
      <c r="N368" s="8"/>
      <c r="O368" s="8"/>
      <c r="P368" s="8"/>
      <c r="Q368" s="8"/>
      <c r="R368" s="8"/>
      <c r="S368" s="8"/>
    </row>
    <row r="369" spans="1:21" ht="15" thickBot="1" x14ac:dyDescent="0.25">
      <c r="A369" s="24"/>
      <c r="B369" s="236"/>
      <c r="C369" s="24"/>
      <c r="D369" s="24"/>
      <c r="E369" s="24"/>
      <c r="F369" s="24"/>
      <c r="G369" s="24"/>
      <c r="H369" s="24"/>
      <c r="K369" s="308" t="s">
        <v>85</v>
      </c>
      <c r="L369" s="40"/>
      <c r="M369" s="1"/>
    </row>
    <row r="370" spans="1:21" ht="15.75" thickBot="1" x14ac:dyDescent="0.3">
      <c r="A370" s="275" t="s">
        <v>244</v>
      </c>
      <c r="B370" s="401" t="s">
        <v>245</v>
      </c>
      <c r="C370" s="402"/>
      <c r="D370" s="402"/>
      <c r="E370" s="402"/>
      <c r="F370" s="402"/>
      <c r="G370" s="402"/>
      <c r="H370" s="402"/>
      <c r="K370" s="308" t="s">
        <v>85</v>
      </c>
      <c r="L370" s="40"/>
      <c r="M370" s="1"/>
    </row>
    <row r="371" spans="1:21" ht="15" x14ac:dyDescent="0.25">
      <c r="A371" s="229" t="s">
        <v>87</v>
      </c>
      <c r="B371" s="236" t="s">
        <v>95</v>
      </c>
      <c r="C371" s="24"/>
      <c r="D371" s="24"/>
      <c r="E371" s="24"/>
      <c r="F371" s="24"/>
      <c r="G371" s="24"/>
      <c r="H371" s="24"/>
      <c r="K371" s="308" t="s">
        <v>85</v>
      </c>
      <c r="L371" s="40"/>
      <c r="M371" s="1"/>
    </row>
    <row r="372" spans="1:21" s="8" customFormat="1" ht="29.25" x14ac:dyDescent="0.25">
      <c r="A372" s="276"/>
      <c r="B372" s="237" t="str">
        <f>CONCATENATE($O$2&amp;": "&amp;VLOOKUP($B371,$N$4:$U$27,2,0))</f>
        <v>Font: Arial</v>
      </c>
      <c r="C372" s="19" t="str">
        <f>CONCATENATE($P$2&amp;": "&amp;VLOOKUP($B371,$N$4:$U$27,3,0))</f>
        <v>T-face: Normal</v>
      </c>
      <c r="D372" s="19" t="str">
        <f>CONCATENATE($Q$2&amp;": "&amp;VLOOKUP($B371,$N$4:$U$27,4,0))</f>
        <v>Font size: 11</v>
      </c>
      <c r="E372" s="19" t="str">
        <f>CONCATENATE($R$2&amp;": "&amp;VLOOKUP($B371,$N$4:$U$27,5,0))</f>
        <v>Row height: Dependant</v>
      </c>
      <c r="F372" s="19" t="str">
        <f>CONCATENATE($S$2&amp;": "&amp;VLOOKUP($B371,$N$4:$U$27,6,0))</f>
        <v>Text col: Black</v>
      </c>
      <c r="G372" s="19" t="str">
        <f>CONCATENATE($T$2&amp;": "&amp;VLOOKUP($B371,$N$4:$U$27,7,0))</f>
        <v>BG col: Light grey</v>
      </c>
      <c r="H372" s="19" t="str">
        <f>CONCATENATE($U$2&amp;": "&amp;VLOOKUP($B371,$N$4:$U$27,8,0))</f>
        <v>Just: Right</v>
      </c>
      <c r="I372" s="37"/>
      <c r="J372" s="2"/>
      <c r="K372" s="308" t="s">
        <v>85</v>
      </c>
      <c r="L372" s="40"/>
      <c r="M372" s="1"/>
      <c r="N372" s="2"/>
      <c r="O372" s="2"/>
      <c r="P372" s="2"/>
      <c r="Q372" s="2"/>
      <c r="R372" s="2"/>
      <c r="S372" s="2"/>
      <c r="T372" s="2"/>
      <c r="U372" s="2"/>
    </row>
    <row r="373" spans="1:21" ht="15" x14ac:dyDescent="0.25">
      <c r="A373" s="229" t="s">
        <v>99</v>
      </c>
      <c r="B373" s="236" t="s">
        <v>246</v>
      </c>
      <c r="C373" s="24"/>
      <c r="D373" s="24"/>
      <c r="E373" s="24"/>
      <c r="F373" s="24"/>
      <c r="G373" s="24"/>
      <c r="H373" s="24"/>
      <c r="J373" s="8"/>
      <c r="K373" s="308" t="s">
        <v>85</v>
      </c>
      <c r="L373" s="40"/>
      <c r="M373" s="1"/>
    </row>
    <row r="374" spans="1:21" ht="15" x14ac:dyDescent="0.25">
      <c r="A374" s="229" t="s">
        <v>102</v>
      </c>
      <c r="B374" s="424" t="str">
        <f>IF('Borrowing expenses'!B25&lt;&gt;"",'Borrowing expenses'!B25,"")</f>
        <v/>
      </c>
      <c r="C374" s="425"/>
      <c r="D374" s="425"/>
      <c r="E374" s="425"/>
      <c r="F374" s="425"/>
      <c r="G374" s="425"/>
      <c r="H374" s="24"/>
      <c r="K374" s="308" t="s">
        <v>151</v>
      </c>
      <c r="L374" s="40"/>
      <c r="M374" s="1"/>
    </row>
    <row r="375" spans="1:21" ht="15" x14ac:dyDescent="0.25">
      <c r="A375" s="277" t="s">
        <v>247</v>
      </c>
      <c r="B375" s="242">
        <v>50</v>
      </c>
      <c r="C375" s="24"/>
      <c r="D375" s="24"/>
      <c r="E375" s="24"/>
      <c r="F375" s="24"/>
      <c r="G375" s="24"/>
      <c r="H375" s="24"/>
      <c r="K375" s="308" t="s">
        <v>85</v>
      </c>
      <c r="L375" s="40"/>
      <c r="M375" s="1"/>
    </row>
    <row r="376" spans="1:21" ht="15" x14ac:dyDescent="0.25">
      <c r="A376" s="277" t="s">
        <v>87</v>
      </c>
      <c r="B376" s="403" t="s">
        <v>248</v>
      </c>
      <c r="C376" s="404"/>
      <c r="D376" s="404"/>
      <c r="E376" s="404"/>
      <c r="F376" s="404"/>
      <c r="G376" s="404"/>
      <c r="H376" s="24"/>
      <c r="K376" s="308" t="s">
        <v>85</v>
      </c>
      <c r="L376" s="40"/>
      <c r="M376" s="1"/>
      <c r="T376"/>
      <c r="U376"/>
    </row>
    <row r="377" spans="1:21" ht="15" x14ac:dyDescent="0.25">
      <c r="A377" s="277" t="s">
        <v>110</v>
      </c>
      <c r="B377" s="236" t="s">
        <v>85</v>
      </c>
      <c r="C377" s="24"/>
      <c r="D377" s="24"/>
      <c r="E377" s="24"/>
      <c r="F377" s="24"/>
      <c r="G377" s="24"/>
      <c r="H377" s="24"/>
      <c r="K377" s="308" t="s">
        <v>85</v>
      </c>
      <c r="L377" s="40"/>
      <c r="M377" s="1"/>
      <c r="N377" s="23"/>
      <c r="O377" s="23"/>
      <c r="P377" s="23"/>
      <c r="Q377" s="23"/>
      <c r="R377" s="23"/>
      <c r="S377" s="23"/>
    </row>
    <row r="378" spans="1:21" ht="15" x14ac:dyDescent="0.25">
      <c r="A378" s="277" t="s">
        <v>138</v>
      </c>
      <c r="B378" s="236" t="s">
        <v>85</v>
      </c>
      <c r="C378" s="24"/>
      <c r="D378" s="24"/>
      <c r="E378" s="24"/>
      <c r="F378" s="24"/>
      <c r="G378" s="24"/>
      <c r="H378" s="24"/>
      <c r="K378" s="308" t="s">
        <v>85</v>
      </c>
      <c r="L378" s="40"/>
      <c r="M378" s="1"/>
    </row>
    <row r="379" spans="1:21" ht="15" x14ac:dyDescent="0.25">
      <c r="A379" s="277" t="s">
        <v>140</v>
      </c>
      <c r="B379" s="405" t="s">
        <v>249</v>
      </c>
      <c r="C379" s="406"/>
      <c r="D379" s="406"/>
      <c r="E379" s="406"/>
      <c r="F379" s="406"/>
      <c r="G379" s="406"/>
      <c r="H379" s="24"/>
      <c r="K379" s="308" t="s">
        <v>85</v>
      </c>
      <c r="L379" s="40"/>
      <c r="M379" s="1"/>
    </row>
    <row r="380" spans="1:21" ht="15" x14ac:dyDescent="0.25">
      <c r="A380" s="277" t="s">
        <v>142</v>
      </c>
      <c r="B380" s="236" t="s">
        <v>85</v>
      </c>
      <c r="C380" s="24"/>
      <c r="D380" s="24"/>
      <c r="E380" s="24"/>
      <c r="F380" s="24"/>
      <c r="G380" s="24"/>
      <c r="H380" s="24"/>
      <c r="K380" s="308" t="s">
        <v>85</v>
      </c>
      <c r="L380" s="40"/>
      <c r="M380" s="1"/>
    </row>
    <row r="381" spans="1:21" customFormat="1" ht="30" x14ac:dyDescent="0.25">
      <c r="A381" s="278" t="s">
        <v>144</v>
      </c>
      <c r="B381" s="236" t="str">
        <f>IF(B371=$N$5,"Yes","No")</f>
        <v>Yes</v>
      </c>
      <c r="C381" s="24"/>
      <c r="D381" s="24"/>
      <c r="E381" s="24"/>
      <c r="F381" s="24"/>
      <c r="G381" s="24"/>
      <c r="H381" s="231"/>
      <c r="I381" s="35"/>
      <c r="J381" s="2"/>
      <c r="K381" s="308" t="s">
        <v>85</v>
      </c>
      <c r="L381" s="40"/>
      <c r="M381" s="1"/>
      <c r="N381" s="2"/>
      <c r="O381" s="2"/>
      <c r="P381" s="2"/>
      <c r="Q381" s="2"/>
      <c r="R381" s="2"/>
      <c r="S381" s="2"/>
      <c r="T381" s="8"/>
      <c r="U381" s="8"/>
    </row>
    <row r="382" spans="1:21" ht="28.5" customHeight="1" x14ac:dyDescent="0.25">
      <c r="A382" s="229" t="s">
        <v>121</v>
      </c>
      <c r="B382" s="403" t="s">
        <v>250</v>
      </c>
      <c r="C382" s="404"/>
      <c r="D382" s="404"/>
      <c r="E382" s="404"/>
      <c r="F382" s="404"/>
      <c r="G382" s="404"/>
      <c r="H382" s="24"/>
      <c r="J382" s="22"/>
      <c r="K382" s="308" t="s">
        <v>85</v>
      </c>
      <c r="L382" s="40"/>
      <c r="M382" s="1"/>
      <c r="N382" s="8"/>
      <c r="O382" s="8"/>
      <c r="P382" s="8"/>
      <c r="Q382" s="8"/>
      <c r="R382" s="8"/>
      <c r="S382" s="8"/>
    </row>
    <row r="383" spans="1:21" ht="15" thickBot="1" x14ac:dyDescent="0.25">
      <c r="A383" s="24"/>
      <c r="B383" s="236"/>
      <c r="C383" s="24"/>
      <c r="D383" s="24"/>
      <c r="E383" s="24"/>
      <c r="F383" s="24"/>
      <c r="G383" s="24"/>
      <c r="H383" s="24"/>
      <c r="K383" s="308" t="s">
        <v>85</v>
      </c>
      <c r="L383" s="40"/>
      <c r="M383" s="1"/>
    </row>
    <row r="384" spans="1:21" ht="15.75" thickBot="1" x14ac:dyDescent="0.3">
      <c r="A384" s="275" t="s">
        <v>251</v>
      </c>
      <c r="B384" s="401" t="s">
        <v>252</v>
      </c>
      <c r="C384" s="402"/>
      <c r="D384" s="402"/>
      <c r="E384" s="402"/>
      <c r="F384" s="402"/>
      <c r="G384" s="402"/>
      <c r="H384" s="402"/>
      <c r="K384" s="308" t="s">
        <v>85</v>
      </c>
      <c r="L384" s="40"/>
      <c r="M384" s="1"/>
    </row>
    <row r="385" spans="1:21" ht="15" x14ac:dyDescent="0.25">
      <c r="A385" s="229" t="s">
        <v>87</v>
      </c>
      <c r="B385" s="236" t="s">
        <v>124</v>
      </c>
      <c r="C385" s="24"/>
      <c r="D385" s="24"/>
      <c r="E385" s="24"/>
      <c r="F385" s="24"/>
      <c r="G385" s="24"/>
      <c r="H385" s="24"/>
      <c r="K385" s="308" t="s">
        <v>85</v>
      </c>
      <c r="L385" s="40"/>
      <c r="M385" s="1"/>
    </row>
    <row r="386" spans="1:21" s="8" customFormat="1" ht="29.25" x14ac:dyDescent="0.25">
      <c r="A386" s="276"/>
      <c r="B386" s="237" t="str">
        <f>CONCATENATE($O$2&amp;": "&amp;VLOOKUP($B385,$N$4:$U$27,2,0))</f>
        <v>Font: Arial</v>
      </c>
      <c r="C386" s="19" t="str">
        <f>CONCATENATE($P$2&amp;": "&amp;VLOOKUP($B385,$N$4:$U$27,3,0))</f>
        <v>T-face: Normal</v>
      </c>
      <c r="D386" s="19" t="str">
        <f>CONCATENATE($Q$2&amp;": "&amp;VLOOKUP($B385,$N$4:$U$27,4,0))</f>
        <v>Font size: 11</v>
      </c>
      <c r="E386" s="19" t="str">
        <f>CONCATENATE($R$2&amp;": "&amp;VLOOKUP($B385,$N$4:$U$27,5,0))</f>
        <v>Row height: 26.5</v>
      </c>
      <c r="F386" s="19" t="str">
        <f>CONCATENATE($S$2&amp;": "&amp;VLOOKUP($B385,$N$4:$U$27,6,0))</f>
        <v>Text col: Black</v>
      </c>
      <c r="G386" s="19" t="str">
        <f>CONCATENATE($T$2&amp;": "&amp;VLOOKUP($B385,$N$4:$U$27,7,0))</f>
        <v>BG col: White</v>
      </c>
      <c r="H386" s="19" t="str">
        <f>CONCATENATE($U$2&amp;": "&amp;VLOOKUP($B385,$N$4:$U$27,8,0))</f>
        <v>Just: Left</v>
      </c>
      <c r="I386" s="37"/>
      <c r="J386" s="2"/>
      <c r="K386" s="308" t="s">
        <v>85</v>
      </c>
      <c r="L386" s="40"/>
      <c r="M386" s="1"/>
      <c r="N386" s="2"/>
      <c r="O386" s="2"/>
      <c r="P386" s="2"/>
      <c r="Q386" s="2"/>
      <c r="R386" s="2"/>
      <c r="S386" s="2"/>
      <c r="T386" s="2"/>
      <c r="U386" s="2"/>
    </row>
    <row r="387" spans="1:21" ht="15" x14ac:dyDescent="0.25">
      <c r="A387" s="229" t="s">
        <v>99</v>
      </c>
      <c r="B387" s="236" t="s">
        <v>240</v>
      </c>
      <c r="C387" s="24"/>
      <c r="D387" s="24"/>
      <c r="E387" s="24"/>
      <c r="F387" s="24"/>
      <c r="G387" s="24"/>
      <c r="H387" s="24"/>
      <c r="J387" s="8"/>
      <c r="K387" s="308" t="s">
        <v>85</v>
      </c>
      <c r="L387" s="40"/>
      <c r="M387" s="1"/>
    </row>
    <row r="388" spans="1:21" ht="15" x14ac:dyDescent="0.25">
      <c r="A388" s="229" t="s">
        <v>102</v>
      </c>
      <c r="B388" s="238" t="s">
        <v>253</v>
      </c>
      <c r="C388" s="39"/>
      <c r="D388" s="39"/>
      <c r="E388" s="39"/>
      <c r="F388" s="39"/>
      <c r="G388" s="39"/>
      <c r="H388" s="24"/>
      <c r="K388" s="308" t="s">
        <v>151</v>
      </c>
      <c r="L388" s="40"/>
      <c r="M388" s="1"/>
    </row>
    <row r="389" spans="1:21" ht="15" x14ac:dyDescent="0.25">
      <c r="A389" s="277" t="s">
        <v>104</v>
      </c>
      <c r="B389" s="236" t="s">
        <v>242</v>
      </c>
      <c r="C389" s="24"/>
      <c r="D389" s="24"/>
      <c r="E389" s="24"/>
      <c r="F389" s="24"/>
      <c r="G389" s="24"/>
      <c r="H389" s="24"/>
      <c r="K389" s="308" t="s">
        <v>85</v>
      </c>
      <c r="L389" s="40"/>
      <c r="M389" s="1"/>
    </row>
    <row r="390" spans="1:21" ht="15" x14ac:dyDescent="0.25">
      <c r="A390" s="277" t="s">
        <v>87</v>
      </c>
      <c r="B390" s="403" t="s">
        <v>155</v>
      </c>
      <c r="C390" s="404"/>
      <c r="D390" s="404"/>
      <c r="E390" s="404"/>
      <c r="F390" s="404"/>
      <c r="G390" s="404"/>
      <c r="H390" s="24"/>
      <c r="K390" s="308" t="s">
        <v>85</v>
      </c>
      <c r="L390" s="40"/>
      <c r="M390" s="1"/>
      <c r="T390"/>
      <c r="U390"/>
    </row>
    <row r="391" spans="1:21" ht="15" x14ac:dyDescent="0.25">
      <c r="A391" s="277" t="s">
        <v>110</v>
      </c>
      <c r="B391" s="236" t="s">
        <v>85</v>
      </c>
      <c r="C391" s="24"/>
      <c r="D391" s="24"/>
      <c r="E391" s="24"/>
      <c r="F391" s="24"/>
      <c r="G391" s="24"/>
      <c r="H391" s="24"/>
      <c r="K391" s="308" t="s">
        <v>85</v>
      </c>
      <c r="L391" s="40"/>
      <c r="M391" s="1"/>
      <c r="N391" s="23"/>
      <c r="O391" s="23"/>
      <c r="P391" s="23"/>
      <c r="Q391" s="23"/>
      <c r="R391" s="23"/>
      <c r="S391" s="23"/>
    </row>
    <row r="392" spans="1:21" ht="15" x14ac:dyDescent="0.25">
      <c r="A392" s="277" t="s">
        <v>138</v>
      </c>
      <c r="B392" s="236" t="s">
        <v>85</v>
      </c>
      <c r="C392" s="24"/>
      <c r="D392" s="24"/>
      <c r="E392" s="24"/>
      <c r="F392" s="24"/>
      <c r="G392" s="24"/>
      <c r="H392" s="24"/>
      <c r="K392" s="308" t="s">
        <v>85</v>
      </c>
      <c r="L392" s="40"/>
      <c r="M392" s="1"/>
    </row>
    <row r="393" spans="1:21" ht="15" x14ac:dyDescent="0.25">
      <c r="A393" s="277" t="s">
        <v>140</v>
      </c>
      <c r="B393" s="236" t="s">
        <v>85</v>
      </c>
      <c r="C393" s="24"/>
      <c r="D393" s="24"/>
      <c r="E393" s="24"/>
      <c r="F393" s="24"/>
      <c r="G393" s="24"/>
      <c r="H393" s="24"/>
      <c r="K393" s="308" t="s">
        <v>85</v>
      </c>
      <c r="L393" s="40"/>
      <c r="M393" s="1"/>
    </row>
    <row r="394" spans="1:21" ht="15" x14ac:dyDescent="0.25">
      <c r="A394" s="277" t="s">
        <v>142</v>
      </c>
      <c r="B394" s="236" t="s">
        <v>85</v>
      </c>
      <c r="C394" s="24"/>
      <c r="D394" s="24"/>
      <c r="E394" s="24"/>
      <c r="F394" s="24"/>
      <c r="G394" s="24"/>
      <c r="H394" s="24"/>
      <c r="K394" s="308" t="s">
        <v>85</v>
      </c>
      <c r="L394" s="40"/>
      <c r="M394" s="1"/>
    </row>
    <row r="395" spans="1:21" customFormat="1" ht="30" x14ac:dyDescent="0.25">
      <c r="A395" s="278" t="s">
        <v>144</v>
      </c>
      <c r="B395" s="236" t="str">
        <f>IF(B385=$N$5,"Yes","No")</f>
        <v>No</v>
      </c>
      <c r="C395" s="24"/>
      <c r="D395" s="24"/>
      <c r="E395" s="24"/>
      <c r="F395" s="24"/>
      <c r="G395" s="24"/>
      <c r="H395" s="231"/>
      <c r="I395" s="35"/>
      <c r="J395" s="2"/>
      <c r="K395" s="308" t="s">
        <v>85</v>
      </c>
      <c r="L395" s="40"/>
      <c r="M395" s="1"/>
      <c r="N395" s="2"/>
      <c r="O395" s="2"/>
      <c r="P395" s="2"/>
      <c r="Q395" s="2"/>
      <c r="R395" s="2"/>
      <c r="S395" s="2"/>
      <c r="T395" s="8"/>
      <c r="U395" s="8"/>
    </row>
    <row r="396" spans="1:21" ht="15" x14ac:dyDescent="0.25">
      <c r="A396" s="229" t="s">
        <v>121</v>
      </c>
      <c r="B396" s="403" t="s">
        <v>254</v>
      </c>
      <c r="C396" s="404"/>
      <c r="D396" s="404"/>
      <c r="E396" s="404"/>
      <c r="F396" s="404"/>
      <c r="G396" s="404"/>
      <c r="H396" s="24"/>
      <c r="J396" s="22"/>
      <c r="K396" s="308" t="s">
        <v>85</v>
      </c>
      <c r="L396" s="40"/>
      <c r="M396" s="1"/>
      <c r="N396" s="8"/>
      <c r="O396" s="8"/>
      <c r="P396" s="8"/>
      <c r="Q396" s="8"/>
      <c r="R396" s="8"/>
      <c r="S396" s="8"/>
    </row>
    <row r="397" spans="1:21" ht="15" thickBot="1" x14ac:dyDescent="0.25">
      <c r="A397" s="24"/>
      <c r="B397" s="236"/>
      <c r="C397" s="24"/>
      <c r="D397" s="24"/>
      <c r="E397" s="24"/>
      <c r="F397" s="24"/>
      <c r="G397" s="24"/>
      <c r="H397" s="24"/>
      <c r="K397" s="308" t="s">
        <v>85</v>
      </c>
      <c r="L397" s="40"/>
      <c r="M397" s="1"/>
    </row>
    <row r="398" spans="1:21" ht="15.75" thickBot="1" x14ac:dyDescent="0.3">
      <c r="A398" s="275" t="s">
        <v>255</v>
      </c>
      <c r="B398" s="401" t="s">
        <v>256</v>
      </c>
      <c r="C398" s="402"/>
      <c r="D398" s="402"/>
      <c r="E398" s="402"/>
      <c r="F398" s="402"/>
      <c r="G398" s="402"/>
      <c r="H398" s="402"/>
      <c r="K398" s="308" t="s">
        <v>85</v>
      </c>
      <c r="L398" s="40"/>
      <c r="M398" s="1"/>
    </row>
    <row r="399" spans="1:21" ht="15" x14ac:dyDescent="0.25">
      <c r="A399" s="229" t="s">
        <v>87</v>
      </c>
      <c r="B399" s="236" t="s">
        <v>95</v>
      </c>
      <c r="C399" s="24"/>
      <c r="D399" s="24"/>
      <c r="E399" s="24"/>
      <c r="F399" s="24"/>
      <c r="G399" s="24"/>
      <c r="H399" s="24"/>
      <c r="K399" s="308" t="s">
        <v>85</v>
      </c>
      <c r="L399" s="40"/>
      <c r="M399" s="1"/>
    </row>
    <row r="400" spans="1:21" s="8" customFormat="1" ht="29.25" x14ac:dyDescent="0.25">
      <c r="A400" s="276"/>
      <c r="B400" s="237" t="str">
        <f>CONCATENATE($O$2&amp;": "&amp;VLOOKUP($B399,$N$4:$U$27,2,0))</f>
        <v>Font: Arial</v>
      </c>
      <c r="C400" s="19" t="str">
        <f>CONCATENATE($P$2&amp;": "&amp;VLOOKUP($B399,$N$4:$U$27,3,0))</f>
        <v>T-face: Normal</v>
      </c>
      <c r="D400" s="19" t="str">
        <f>CONCATENATE($Q$2&amp;": "&amp;VLOOKUP($B399,$N$4:$U$27,4,0))</f>
        <v>Font size: 11</v>
      </c>
      <c r="E400" s="19" t="str">
        <f>CONCATENATE($R$2&amp;": "&amp;VLOOKUP($B399,$N$4:$U$27,5,0))</f>
        <v>Row height: Dependant</v>
      </c>
      <c r="F400" s="19" t="str">
        <f>CONCATENATE($S$2&amp;": "&amp;VLOOKUP($B399,$N$4:$U$27,6,0))</f>
        <v>Text col: Black</v>
      </c>
      <c r="G400" s="19" t="str">
        <f>CONCATENATE($T$2&amp;": "&amp;VLOOKUP($B399,$N$4:$U$27,7,0))</f>
        <v>BG col: Light grey</v>
      </c>
      <c r="H400" s="19" t="str">
        <f>CONCATENATE($U$2&amp;": "&amp;VLOOKUP($B399,$N$4:$U$27,8,0))</f>
        <v>Just: Right</v>
      </c>
      <c r="I400" s="37"/>
      <c r="J400" s="2"/>
      <c r="K400" s="308" t="s">
        <v>85</v>
      </c>
      <c r="L400" s="40"/>
      <c r="M400" s="1"/>
      <c r="N400" s="2"/>
      <c r="O400" s="2"/>
      <c r="P400" s="2"/>
      <c r="Q400" s="2"/>
      <c r="R400" s="2"/>
      <c r="S400" s="2"/>
      <c r="T400" s="2"/>
      <c r="U400" s="2"/>
    </row>
    <row r="401" spans="1:21" ht="15" x14ac:dyDescent="0.25">
      <c r="A401" s="229" t="s">
        <v>99</v>
      </c>
      <c r="B401" s="236" t="s">
        <v>246</v>
      </c>
      <c r="C401" s="24"/>
      <c r="D401" s="24"/>
      <c r="E401" s="24"/>
      <c r="F401" s="24"/>
      <c r="G401" s="24"/>
      <c r="H401" s="24"/>
      <c r="J401" s="8"/>
      <c r="K401" s="308" t="s">
        <v>85</v>
      </c>
      <c r="L401" s="40"/>
      <c r="M401" s="1"/>
    </row>
    <row r="402" spans="1:21" ht="15" x14ac:dyDescent="0.25">
      <c r="A402" s="229" t="s">
        <v>102</v>
      </c>
      <c r="B402" s="424" t="str">
        <f>IF('Borrowing expenses'!B26&lt;&gt;"",'Borrowing expenses'!B26,"")</f>
        <v/>
      </c>
      <c r="C402" s="425"/>
      <c r="D402" s="425"/>
      <c r="E402" s="425"/>
      <c r="F402" s="425"/>
      <c r="G402" s="425"/>
      <c r="H402" s="24"/>
      <c r="K402" s="308" t="s">
        <v>151</v>
      </c>
      <c r="L402" s="40"/>
      <c r="M402" s="1"/>
    </row>
    <row r="403" spans="1:21" ht="15" x14ac:dyDescent="0.25">
      <c r="A403" s="277" t="s">
        <v>247</v>
      </c>
      <c r="B403" s="242">
        <v>50</v>
      </c>
      <c r="C403" s="24"/>
      <c r="D403" s="24"/>
      <c r="E403" s="24"/>
      <c r="F403" s="24"/>
      <c r="G403" s="24"/>
      <c r="H403" s="24"/>
      <c r="K403" s="308" t="s">
        <v>85</v>
      </c>
      <c r="L403" s="40"/>
      <c r="M403" s="1"/>
    </row>
    <row r="404" spans="1:21" ht="15" x14ac:dyDescent="0.25">
      <c r="A404" s="277" t="s">
        <v>87</v>
      </c>
      <c r="B404" s="403" t="s">
        <v>248</v>
      </c>
      <c r="C404" s="404"/>
      <c r="D404" s="404"/>
      <c r="E404" s="404"/>
      <c r="F404" s="404"/>
      <c r="G404" s="404"/>
      <c r="H404" s="24"/>
      <c r="K404" s="308" t="s">
        <v>85</v>
      </c>
      <c r="L404" s="40"/>
      <c r="M404" s="1"/>
      <c r="T404"/>
      <c r="U404"/>
    </row>
    <row r="405" spans="1:21" ht="15" x14ac:dyDescent="0.25">
      <c r="A405" s="277" t="s">
        <v>110</v>
      </c>
      <c r="B405" s="236" t="s">
        <v>85</v>
      </c>
      <c r="C405" s="24"/>
      <c r="D405" s="24"/>
      <c r="E405" s="24"/>
      <c r="F405" s="24"/>
      <c r="G405" s="24"/>
      <c r="H405" s="24"/>
      <c r="K405" s="308" t="s">
        <v>85</v>
      </c>
      <c r="L405" s="40"/>
      <c r="M405" s="1"/>
      <c r="N405" s="23"/>
      <c r="O405" s="23"/>
      <c r="P405" s="23"/>
      <c r="Q405" s="23"/>
      <c r="R405" s="23"/>
      <c r="S405" s="23"/>
    </row>
    <row r="406" spans="1:21" ht="15" x14ac:dyDescent="0.25">
      <c r="A406" s="277" t="s">
        <v>138</v>
      </c>
      <c r="B406" s="236" t="s">
        <v>85</v>
      </c>
      <c r="C406" s="24"/>
      <c r="D406" s="24"/>
      <c r="E406" s="24"/>
      <c r="F406" s="24"/>
      <c r="G406" s="24"/>
      <c r="H406" s="24"/>
      <c r="K406" s="308" t="s">
        <v>85</v>
      </c>
      <c r="L406" s="40"/>
      <c r="M406" s="1"/>
    </row>
    <row r="407" spans="1:21" ht="15" x14ac:dyDescent="0.25">
      <c r="A407" s="277" t="s">
        <v>140</v>
      </c>
      <c r="B407" s="405" t="s">
        <v>249</v>
      </c>
      <c r="C407" s="406"/>
      <c r="D407" s="406"/>
      <c r="E407" s="406"/>
      <c r="F407" s="406"/>
      <c r="G407" s="406"/>
      <c r="H407" s="24"/>
      <c r="K407" s="308" t="s">
        <v>85</v>
      </c>
      <c r="L407" s="40"/>
      <c r="M407" s="1"/>
    </row>
    <row r="408" spans="1:21" ht="15" x14ac:dyDescent="0.25">
      <c r="A408" s="277" t="s">
        <v>142</v>
      </c>
      <c r="B408" s="236" t="s">
        <v>85</v>
      </c>
      <c r="C408" s="24"/>
      <c r="D408" s="24"/>
      <c r="E408" s="24"/>
      <c r="F408" s="24"/>
      <c r="G408" s="24"/>
      <c r="H408" s="24"/>
      <c r="K408" s="308" t="s">
        <v>85</v>
      </c>
      <c r="L408" s="40"/>
      <c r="M408" s="1"/>
    </row>
    <row r="409" spans="1:21" customFormat="1" ht="30" x14ac:dyDescent="0.25">
      <c r="A409" s="278" t="s">
        <v>144</v>
      </c>
      <c r="B409" s="236" t="str">
        <f>IF(B399=$N$5,"Yes","No")</f>
        <v>Yes</v>
      </c>
      <c r="C409" s="24"/>
      <c r="D409" s="24"/>
      <c r="E409" s="24"/>
      <c r="F409" s="24"/>
      <c r="G409" s="24"/>
      <c r="H409" s="231"/>
      <c r="I409" s="35"/>
      <c r="J409" s="2"/>
      <c r="K409" s="308" t="s">
        <v>85</v>
      </c>
      <c r="L409" s="40"/>
      <c r="M409" s="1"/>
      <c r="N409" s="2"/>
      <c r="O409" s="2"/>
      <c r="P409" s="2"/>
      <c r="Q409" s="2"/>
      <c r="R409" s="2"/>
      <c r="S409" s="2"/>
      <c r="T409" s="8"/>
      <c r="U409" s="8"/>
    </row>
    <row r="410" spans="1:21" ht="28.5" customHeight="1" x14ac:dyDescent="0.25">
      <c r="A410" s="229" t="s">
        <v>121</v>
      </c>
      <c r="B410" s="403" t="s">
        <v>257</v>
      </c>
      <c r="C410" s="404"/>
      <c r="D410" s="404"/>
      <c r="E410" s="404"/>
      <c r="F410" s="404"/>
      <c r="G410" s="404"/>
      <c r="H410" s="24"/>
      <c r="J410" s="22"/>
      <c r="K410" s="308" t="s">
        <v>85</v>
      </c>
      <c r="L410" s="40"/>
      <c r="M410" s="1"/>
      <c r="N410" s="8"/>
      <c r="O410" s="8"/>
      <c r="P410" s="8"/>
      <c r="Q410" s="8"/>
      <c r="R410" s="8"/>
      <c r="S410" s="8"/>
    </row>
    <row r="411" spans="1:21" ht="15" thickBot="1" x14ac:dyDescent="0.25">
      <c r="A411" s="24"/>
      <c r="B411" s="236"/>
      <c r="C411" s="24"/>
      <c r="D411" s="24"/>
      <c r="E411" s="24"/>
      <c r="F411" s="24"/>
      <c r="G411" s="24"/>
      <c r="H411" s="24"/>
      <c r="K411" s="308" t="s">
        <v>85</v>
      </c>
      <c r="L411" s="40"/>
      <c r="M411" s="1"/>
    </row>
    <row r="412" spans="1:21" ht="15.75" thickBot="1" x14ac:dyDescent="0.3">
      <c r="A412" s="275" t="s">
        <v>258</v>
      </c>
      <c r="B412" s="401" t="s">
        <v>259</v>
      </c>
      <c r="C412" s="402"/>
      <c r="D412" s="402"/>
      <c r="E412" s="402"/>
      <c r="F412" s="402"/>
      <c r="G412" s="402"/>
      <c r="H412" s="402"/>
      <c r="K412" s="308" t="s">
        <v>85</v>
      </c>
      <c r="L412" s="40"/>
      <c r="M412" s="1"/>
    </row>
    <row r="413" spans="1:21" ht="15" x14ac:dyDescent="0.25">
      <c r="A413" s="229" t="s">
        <v>87</v>
      </c>
      <c r="B413" s="236" t="s">
        <v>124</v>
      </c>
      <c r="C413" s="24"/>
      <c r="D413" s="24"/>
      <c r="E413" s="24"/>
      <c r="F413" s="24"/>
      <c r="G413" s="24"/>
      <c r="H413" s="24"/>
      <c r="K413" s="308" t="s">
        <v>85</v>
      </c>
      <c r="L413" s="40"/>
      <c r="M413" s="1"/>
    </row>
    <row r="414" spans="1:21" s="8" customFormat="1" ht="29.25" x14ac:dyDescent="0.25">
      <c r="A414" s="276"/>
      <c r="B414" s="237" t="str">
        <f>CONCATENATE($O$2&amp;": "&amp;VLOOKUP($B413,$N$4:$U$27,2,0))</f>
        <v>Font: Arial</v>
      </c>
      <c r="C414" s="19" t="str">
        <f>CONCATENATE($P$2&amp;": "&amp;VLOOKUP($B413,$N$4:$U$27,3,0))</f>
        <v>T-face: Normal</v>
      </c>
      <c r="D414" s="19" t="str">
        <f>CONCATENATE($Q$2&amp;": "&amp;VLOOKUP($B413,$N$4:$U$27,4,0))</f>
        <v>Font size: 11</v>
      </c>
      <c r="E414" s="19" t="str">
        <f>CONCATENATE($R$2&amp;": "&amp;VLOOKUP($B413,$N$4:$U$27,5,0))</f>
        <v>Row height: 26.5</v>
      </c>
      <c r="F414" s="19" t="str">
        <f>CONCATENATE($S$2&amp;": "&amp;VLOOKUP($B413,$N$4:$U$27,6,0))</f>
        <v>Text col: Black</v>
      </c>
      <c r="G414" s="19" t="str">
        <f>CONCATENATE($T$2&amp;": "&amp;VLOOKUP($B413,$N$4:$U$27,7,0))</f>
        <v>BG col: White</v>
      </c>
      <c r="H414" s="19" t="str">
        <f>CONCATENATE($U$2&amp;": "&amp;VLOOKUP($B413,$N$4:$U$27,8,0))</f>
        <v>Just: Left</v>
      </c>
      <c r="I414" s="37"/>
      <c r="J414" s="2"/>
      <c r="K414" s="308" t="s">
        <v>85</v>
      </c>
      <c r="L414" s="40"/>
      <c r="M414" s="1"/>
      <c r="N414" s="2"/>
      <c r="O414" s="2"/>
      <c r="P414" s="2"/>
      <c r="Q414" s="2"/>
      <c r="R414" s="2"/>
      <c r="S414" s="2"/>
      <c r="T414" s="2"/>
      <c r="U414" s="2"/>
    </row>
    <row r="415" spans="1:21" ht="15" x14ac:dyDescent="0.25">
      <c r="A415" s="229" t="s">
        <v>99</v>
      </c>
      <c r="B415" s="236" t="s">
        <v>240</v>
      </c>
      <c r="C415" s="24"/>
      <c r="D415" s="24"/>
      <c r="E415" s="24"/>
      <c r="F415" s="24"/>
      <c r="G415" s="24"/>
      <c r="H415" s="24"/>
      <c r="J415" s="8"/>
      <c r="K415" s="308" t="s">
        <v>85</v>
      </c>
      <c r="L415" s="40"/>
      <c r="M415" s="1"/>
    </row>
    <row r="416" spans="1:21" ht="15" x14ac:dyDescent="0.25">
      <c r="A416" s="229" t="s">
        <v>102</v>
      </c>
      <c r="B416" s="238" t="s">
        <v>260</v>
      </c>
      <c r="C416" s="39"/>
      <c r="D416" s="39"/>
      <c r="E416" s="39"/>
      <c r="F416" s="39"/>
      <c r="G416" s="39"/>
      <c r="H416" s="24"/>
      <c r="K416" s="308" t="s">
        <v>151</v>
      </c>
      <c r="L416" s="40"/>
      <c r="M416" s="1"/>
      <c r="N416" s="23"/>
      <c r="O416" s="23"/>
      <c r="P416" s="23"/>
      <c r="Q416" s="23"/>
      <c r="R416" s="23"/>
      <c r="S416" s="23"/>
    </row>
    <row r="417" spans="1:21" ht="15" x14ac:dyDescent="0.25">
      <c r="A417" s="277" t="s">
        <v>104</v>
      </c>
      <c r="B417" s="236" t="s">
        <v>242</v>
      </c>
      <c r="C417" s="24"/>
      <c r="D417" s="24"/>
      <c r="E417" s="24"/>
      <c r="F417" s="24"/>
      <c r="G417" s="24"/>
      <c r="H417" s="24"/>
      <c r="K417" s="308" t="s">
        <v>85</v>
      </c>
      <c r="L417" s="40"/>
      <c r="M417" s="1"/>
    </row>
    <row r="418" spans="1:21" ht="15" x14ac:dyDescent="0.25">
      <c r="A418" s="277" t="s">
        <v>87</v>
      </c>
      <c r="B418" s="403" t="s">
        <v>155</v>
      </c>
      <c r="C418" s="404"/>
      <c r="D418" s="404"/>
      <c r="E418" s="404"/>
      <c r="F418" s="404"/>
      <c r="G418" s="404"/>
      <c r="H418" s="24"/>
      <c r="K418" s="308" t="s">
        <v>85</v>
      </c>
      <c r="L418" s="40"/>
      <c r="M418" s="1"/>
    </row>
    <row r="419" spans="1:21" ht="15" x14ac:dyDescent="0.25">
      <c r="A419" s="277" t="s">
        <v>110</v>
      </c>
      <c r="B419" s="236" t="s">
        <v>85</v>
      </c>
      <c r="C419" s="24"/>
      <c r="D419" s="24"/>
      <c r="E419" s="24"/>
      <c r="F419" s="24"/>
      <c r="G419" s="24"/>
      <c r="H419" s="24"/>
      <c r="K419" s="308" t="s">
        <v>85</v>
      </c>
      <c r="L419" s="40"/>
      <c r="M419" s="1"/>
    </row>
    <row r="420" spans="1:21" ht="15" x14ac:dyDescent="0.25">
      <c r="A420" s="277" t="s">
        <v>138</v>
      </c>
      <c r="B420" s="236" t="s">
        <v>85</v>
      </c>
      <c r="C420" s="24"/>
      <c r="D420" s="24"/>
      <c r="E420" s="24"/>
      <c r="F420" s="24"/>
      <c r="G420" s="24"/>
      <c r="H420" s="24"/>
      <c r="K420" s="308" t="s">
        <v>85</v>
      </c>
      <c r="L420" s="40"/>
      <c r="M420" s="1"/>
    </row>
    <row r="421" spans="1:21" ht="15" x14ac:dyDescent="0.25">
      <c r="A421" s="277" t="s">
        <v>140</v>
      </c>
      <c r="B421" s="236" t="s">
        <v>85</v>
      </c>
      <c r="C421" s="24"/>
      <c r="D421" s="24"/>
      <c r="E421" s="24"/>
      <c r="F421" s="24"/>
      <c r="G421" s="24"/>
      <c r="H421" s="24"/>
      <c r="K421" s="308" t="s">
        <v>85</v>
      </c>
      <c r="L421" s="40"/>
      <c r="M421" s="1"/>
    </row>
    <row r="422" spans="1:21" customFormat="1" ht="15" x14ac:dyDescent="0.25">
      <c r="A422" s="277" t="s">
        <v>142</v>
      </c>
      <c r="B422" s="236" t="s">
        <v>85</v>
      </c>
      <c r="C422" s="24"/>
      <c r="D422" s="24"/>
      <c r="E422" s="24"/>
      <c r="F422" s="24"/>
      <c r="G422" s="24"/>
      <c r="H422" s="24"/>
      <c r="I422" s="35"/>
      <c r="J422" s="2"/>
      <c r="K422" s="308" t="s">
        <v>85</v>
      </c>
      <c r="L422" s="40"/>
      <c r="M422" s="1"/>
      <c r="N422" s="2"/>
      <c r="O422" s="2"/>
      <c r="P422" s="2"/>
      <c r="Q422" s="2"/>
      <c r="R422" s="2"/>
      <c r="S422" s="2"/>
      <c r="T422" s="2"/>
      <c r="U422" s="2"/>
    </row>
    <row r="423" spans="1:21" ht="30" x14ac:dyDescent="0.25">
      <c r="A423" s="278" t="s">
        <v>144</v>
      </c>
      <c r="B423" s="236" t="str">
        <f>IF(B413=$N$5,"Yes","No")</f>
        <v>No</v>
      </c>
      <c r="C423" s="24"/>
      <c r="D423" s="24"/>
      <c r="E423" s="24"/>
      <c r="F423" s="24"/>
      <c r="G423" s="24"/>
      <c r="H423" s="231"/>
      <c r="J423" s="22"/>
      <c r="K423" s="308" t="s">
        <v>85</v>
      </c>
      <c r="L423" s="40"/>
      <c r="M423" s="1"/>
      <c r="T423" s="8"/>
      <c r="U423" s="8"/>
    </row>
    <row r="424" spans="1:21" ht="15" x14ac:dyDescent="0.25">
      <c r="A424" s="229" t="s">
        <v>121</v>
      </c>
      <c r="B424" s="403" t="s">
        <v>261</v>
      </c>
      <c r="C424" s="404"/>
      <c r="D424" s="404"/>
      <c r="E424" s="404"/>
      <c r="F424" s="404"/>
      <c r="G424" s="404"/>
      <c r="H424" s="24"/>
      <c r="K424" s="308" t="s">
        <v>85</v>
      </c>
      <c r="L424" s="40"/>
      <c r="M424" s="1"/>
      <c r="N424" s="8"/>
      <c r="O424" s="8"/>
      <c r="P424" s="8"/>
      <c r="Q424" s="8"/>
      <c r="R424" s="8"/>
      <c r="S424" s="8"/>
    </row>
    <row r="425" spans="1:21" ht="15" thickBot="1" x14ac:dyDescent="0.25">
      <c r="A425" s="24"/>
      <c r="B425" s="236"/>
      <c r="C425" s="24"/>
      <c r="D425" s="24"/>
      <c r="E425" s="24"/>
      <c r="F425" s="24"/>
      <c r="G425" s="24"/>
      <c r="H425" s="24"/>
      <c r="K425" s="308" t="s">
        <v>85</v>
      </c>
      <c r="L425" s="40"/>
      <c r="M425" s="1"/>
    </row>
    <row r="426" spans="1:21" ht="15.75" thickBot="1" x14ac:dyDescent="0.3">
      <c r="A426" s="275" t="s">
        <v>262</v>
      </c>
      <c r="B426" s="401" t="s">
        <v>263</v>
      </c>
      <c r="C426" s="402"/>
      <c r="D426" s="402"/>
      <c r="E426" s="402"/>
      <c r="F426" s="402"/>
      <c r="G426" s="402"/>
      <c r="H426" s="402"/>
      <c r="K426" s="308" t="s">
        <v>85</v>
      </c>
      <c r="L426" s="40"/>
      <c r="M426" s="1"/>
    </row>
    <row r="427" spans="1:21" ht="15" x14ac:dyDescent="0.25">
      <c r="A427" s="229" t="s">
        <v>87</v>
      </c>
      <c r="B427" s="236" t="s">
        <v>95</v>
      </c>
      <c r="C427" s="24"/>
      <c r="D427" s="24"/>
      <c r="E427" s="24"/>
      <c r="F427" s="24"/>
      <c r="G427" s="24"/>
      <c r="H427" s="24"/>
      <c r="K427" s="308" t="s">
        <v>85</v>
      </c>
      <c r="L427" s="40"/>
      <c r="M427" s="1"/>
    </row>
    <row r="428" spans="1:21" ht="29.25" x14ac:dyDescent="0.25">
      <c r="A428" s="276"/>
      <c r="B428" s="237" t="str">
        <f>CONCATENATE($O$2&amp;": "&amp;VLOOKUP($B427,$N$4:$U$27,2,0))</f>
        <v>Font: Arial</v>
      </c>
      <c r="C428" s="19" t="str">
        <f>CONCATENATE($P$2&amp;": "&amp;VLOOKUP($B427,$N$4:$U$27,3,0))</f>
        <v>T-face: Normal</v>
      </c>
      <c r="D428" s="19" t="str">
        <f>CONCATENATE($Q$2&amp;": "&amp;VLOOKUP($B427,$N$4:$U$27,4,0))</f>
        <v>Font size: 11</v>
      </c>
      <c r="E428" s="19" t="str">
        <f>CONCATENATE($R$2&amp;": "&amp;VLOOKUP($B427,$N$4:$U$27,5,0))</f>
        <v>Row height: Dependant</v>
      </c>
      <c r="F428" s="19" t="str">
        <f>CONCATENATE($S$2&amp;": "&amp;VLOOKUP($B427,$N$4:$U$27,6,0))</f>
        <v>Text col: Black</v>
      </c>
      <c r="G428" s="19" t="str">
        <f>CONCATENATE($T$2&amp;": "&amp;VLOOKUP($B427,$N$4:$U$27,7,0))</f>
        <v>BG col: Light grey</v>
      </c>
      <c r="H428" s="19" t="str">
        <f>CONCATENATE($U$2&amp;": "&amp;VLOOKUP($B427,$N$4:$U$27,8,0))</f>
        <v>Just: Right</v>
      </c>
      <c r="K428" s="308" t="s">
        <v>85</v>
      </c>
      <c r="L428" s="40"/>
      <c r="M428" s="1"/>
    </row>
    <row r="429" spans="1:21" ht="15" x14ac:dyDescent="0.25">
      <c r="A429" s="229" t="s">
        <v>99</v>
      </c>
      <c r="B429" s="236" t="s">
        <v>246</v>
      </c>
      <c r="C429" s="24"/>
      <c r="D429" s="24"/>
      <c r="E429" s="24"/>
      <c r="F429" s="24"/>
      <c r="G429" s="24"/>
      <c r="H429" s="24"/>
      <c r="K429" s="308" t="s">
        <v>85</v>
      </c>
      <c r="L429" s="40"/>
      <c r="M429" s="1"/>
    </row>
    <row r="430" spans="1:21" ht="15" x14ac:dyDescent="0.25">
      <c r="A430" s="229" t="s">
        <v>102</v>
      </c>
      <c r="B430" s="243">
        <f>'Borrowing expenses'!E27</f>
        <v>0</v>
      </c>
      <c r="C430" s="149"/>
      <c r="D430" s="149"/>
      <c r="E430" s="149"/>
      <c r="F430" s="149"/>
      <c r="G430" s="149"/>
      <c r="H430" s="24"/>
      <c r="K430" s="308" t="s">
        <v>151</v>
      </c>
      <c r="L430" s="40"/>
      <c r="M430" s="1"/>
    </row>
    <row r="431" spans="1:21" ht="15" x14ac:dyDescent="0.25">
      <c r="A431" s="277" t="s">
        <v>247</v>
      </c>
      <c r="B431" s="242" t="s">
        <v>264</v>
      </c>
      <c r="C431" s="24"/>
      <c r="D431" s="24"/>
      <c r="E431" s="24"/>
      <c r="F431" s="24"/>
      <c r="G431" s="24"/>
      <c r="H431" s="24"/>
      <c r="K431" s="308" t="s">
        <v>85</v>
      </c>
      <c r="L431" s="40"/>
      <c r="M431" s="1"/>
      <c r="T431"/>
      <c r="U431"/>
    </row>
    <row r="432" spans="1:21" ht="15" x14ac:dyDescent="0.25">
      <c r="A432" s="277" t="s">
        <v>87</v>
      </c>
      <c r="B432" s="403" t="s">
        <v>265</v>
      </c>
      <c r="C432" s="404"/>
      <c r="D432" s="404"/>
      <c r="E432" s="404"/>
      <c r="F432" s="404"/>
      <c r="G432" s="404"/>
      <c r="H432" s="24"/>
      <c r="K432" s="308" t="s">
        <v>85</v>
      </c>
      <c r="L432" s="40"/>
      <c r="M432" s="1"/>
      <c r="N432" s="23"/>
      <c r="O432" s="23"/>
      <c r="P432" s="23"/>
      <c r="Q432" s="23"/>
      <c r="R432" s="23"/>
      <c r="S432" s="23"/>
    </row>
    <row r="433" spans="1:21" ht="15" x14ac:dyDescent="0.25">
      <c r="A433" s="277" t="s">
        <v>110</v>
      </c>
      <c r="B433" s="236">
        <v>0</v>
      </c>
      <c r="C433" s="24"/>
      <c r="D433" s="24"/>
      <c r="E433" s="24"/>
      <c r="F433" s="24"/>
      <c r="G433" s="24"/>
      <c r="H433" s="24"/>
      <c r="K433" s="308" t="s">
        <v>85</v>
      </c>
      <c r="L433" s="40"/>
      <c r="M433" s="1"/>
    </row>
    <row r="434" spans="1:21" ht="15" x14ac:dyDescent="0.25">
      <c r="A434" s="277" t="s">
        <v>138</v>
      </c>
      <c r="B434" s="244">
        <v>99999999.989999995</v>
      </c>
      <c r="C434" s="24"/>
      <c r="D434" s="24"/>
      <c r="E434" s="24"/>
      <c r="F434" s="24"/>
      <c r="G434" s="24"/>
      <c r="H434" s="24"/>
      <c r="K434" s="308" t="s">
        <v>85</v>
      </c>
      <c r="L434" s="40"/>
      <c r="M434" s="1"/>
    </row>
    <row r="435" spans="1:21" ht="15" x14ac:dyDescent="0.25">
      <c r="A435" s="277" t="s">
        <v>140</v>
      </c>
      <c r="B435" s="405" t="s">
        <v>249</v>
      </c>
      <c r="C435" s="406"/>
      <c r="D435" s="406"/>
      <c r="E435" s="406"/>
      <c r="F435" s="406"/>
      <c r="G435" s="406"/>
      <c r="H435" s="24"/>
      <c r="K435" s="308" t="s">
        <v>85</v>
      </c>
      <c r="L435" s="40"/>
      <c r="M435" s="1"/>
    </row>
    <row r="436" spans="1:21" ht="15" x14ac:dyDescent="0.25">
      <c r="A436" s="277" t="s">
        <v>142</v>
      </c>
      <c r="B436" s="236" t="s">
        <v>85</v>
      </c>
      <c r="C436" s="24"/>
      <c r="D436" s="24"/>
      <c r="E436" s="24"/>
      <c r="F436" s="24"/>
      <c r="G436" s="24"/>
      <c r="H436" s="24"/>
      <c r="K436" s="308" t="s">
        <v>85</v>
      </c>
      <c r="L436" s="40"/>
      <c r="M436" s="1"/>
    </row>
    <row r="437" spans="1:21" ht="30" x14ac:dyDescent="0.25">
      <c r="A437" s="278" t="s">
        <v>144</v>
      </c>
      <c r="B437" s="236" t="str">
        <f>IF(B427=$N$5,"Yes","No")</f>
        <v>Yes</v>
      </c>
      <c r="C437" s="24"/>
      <c r="D437" s="24"/>
      <c r="E437" s="24"/>
      <c r="F437" s="24"/>
      <c r="G437" s="24"/>
      <c r="H437" s="231"/>
      <c r="K437" s="308" t="s">
        <v>85</v>
      </c>
      <c r="L437" s="40"/>
      <c r="M437" s="1"/>
    </row>
    <row r="438" spans="1:21" ht="15" x14ac:dyDescent="0.25">
      <c r="A438" s="229" t="s">
        <v>121</v>
      </c>
      <c r="B438" s="403" t="s">
        <v>266</v>
      </c>
      <c r="C438" s="404"/>
      <c r="D438" s="404"/>
      <c r="E438" s="404"/>
      <c r="F438" s="404"/>
      <c r="G438" s="404"/>
      <c r="H438" s="24"/>
      <c r="K438" s="308" t="s">
        <v>85</v>
      </c>
      <c r="L438" s="40"/>
      <c r="M438" s="1"/>
    </row>
    <row r="439" spans="1:21" ht="15" thickBot="1" x14ac:dyDescent="0.25">
      <c r="A439" s="24"/>
      <c r="B439" s="236"/>
      <c r="C439" s="24"/>
      <c r="D439" s="24"/>
      <c r="E439" s="24"/>
      <c r="F439" s="24"/>
      <c r="G439" s="24"/>
      <c r="H439" s="24"/>
      <c r="K439" s="308" t="s">
        <v>85</v>
      </c>
      <c r="L439" s="40"/>
      <c r="M439" s="1"/>
    </row>
    <row r="440" spans="1:21" ht="15.75" thickBot="1" x14ac:dyDescent="0.3">
      <c r="A440" s="275" t="s">
        <v>267</v>
      </c>
      <c r="B440" s="401" t="s">
        <v>268</v>
      </c>
      <c r="C440" s="402"/>
      <c r="D440" s="402"/>
      <c r="E440" s="402"/>
      <c r="F440" s="402"/>
      <c r="G440" s="402"/>
      <c r="H440" s="402"/>
      <c r="K440" s="308" t="s">
        <v>85</v>
      </c>
      <c r="L440" s="40"/>
      <c r="M440" s="1"/>
    </row>
    <row r="441" spans="1:21" ht="15" x14ac:dyDescent="0.25">
      <c r="A441" s="229" t="s">
        <v>87</v>
      </c>
      <c r="B441" s="236" t="s">
        <v>124</v>
      </c>
      <c r="C441" s="24"/>
      <c r="D441" s="24"/>
      <c r="E441" s="24"/>
      <c r="F441" s="24"/>
      <c r="G441" s="24"/>
      <c r="H441" s="24"/>
      <c r="K441" s="308" t="s">
        <v>85</v>
      </c>
      <c r="L441" s="40"/>
      <c r="M441" s="1"/>
    </row>
    <row r="442" spans="1:21" s="8" customFormat="1" ht="29.25" x14ac:dyDescent="0.25">
      <c r="A442" s="276"/>
      <c r="B442" s="237" t="str">
        <f>CONCATENATE($O$2&amp;": "&amp;VLOOKUP($B441,$N$4:$U$27,2,0))</f>
        <v>Font: Arial</v>
      </c>
      <c r="C442" s="19" t="str">
        <f>CONCATENATE($P$2&amp;": "&amp;VLOOKUP($B441,$N$4:$U$27,3,0))</f>
        <v>T-face: Normal</v>
      </c>
      <c r="D442" s="19" t="str">
        <f>CONCATENATE($Q$2&amp;": "&amp;VLOOKUP($B441,$N$4:$U$27,4,0))</f>
        <v>Font size: 11</v>
      </c>
      <c r="E442" s="19" t="str">
        <f>CONCATENATE($R$2&amp;": "&amp;VLOOKUP($B441,$N$4:$U$27,5,0))</f>
        <v>Row height: 26.5</v>
      </c>
      <c r="F442" s="19" t="str">
        <f>CONCATENATE($S$2&amp;": "&amp;VLOOKUP($B441,$N$4:$U$27,6,0))</f>
        <v>Text col: Black</v>
      </c>
      <c r="G442" s="19" t="str">
        <f>CONCATENATE($T$2&amp;": "&amp;VLOOKUP($B441,$N$4:$U$27,7,0))</f>
        <v>BG col: White</v>
      </c>
      <c r="H442" s="19" t="str">
        <f>CONCATENATE($U$2&amp;": "&amp;VLOOKUP($B441,$N$4:$U$27,8,0))</f>
        <v>Just: Left</v>
      </c>
      <c r="I442" s="37"/>
      <c r="J442" s="2"/>
      <c r="K442" s="308" t="s">
        <v>85</v>
      </c>
      <c r="L442" s="40"/>
      <c r="M442" s="1"/>
      <c r="N442" s="2"/>
      <c r="O442" s="2"/>
      <c r="P442" s="2"/>
      <c r="Q442" s="2"/>
      <c r="R442" s="2"/>
      <c r="S442" s="2"/>
      <c r="T442" s="2"/>
      <c r="U442" s="2"/>
    </row>
    <row r="443" spans="1:21" ht="15" x14ac:dyDescent="0.25">
      <c r="A443" s="229" t="s">
        <v>99</v>
      </c>
      <c r="B443" s="236" t="s">
        <v>240</v>
      </c>
      <c r="C443" s="24"/>
      <c r="D443" s="24"/>
      <c r="E443" s="24"/>
      <c r="F443" s="24"/>
      <c r="G443" s="24"/>
      <c r="H443" s="24"/>
      <c r="J443" s="8"/>
      <c r="K443" s="308" t="s">
        <v>85</v>
      </c>
      <c r="L443" s="40"/>
      <c r="M443" s="1"/>
    </row>
    <row r="444" spans="1:21" ht="15" x14ac:dyDescent="0.25">
      <c r="A444" s="229" t="s">
        <v>102</v>
      </c>
      <c r="B444" s="238" t="s">
        <v>269</v>
      </c>
      <c r="C444" s="39"/>
      <c r="D444" s="39"/>
      <c r="E444" s="39"/>
      <c r="F444" s="39"/>
      <c r="G444" s="39"/>
      <c r="H444" s="24"/>
      <c r="K444" s="308" t="s">
        <v>151</v>
      </c>
      <c r="L444" s="40"/>
      <c r="M444" s="1"/>
    </row>
    <row r="445" spans="1:21" ht="15" x14ac:dyDescent="0.25">
      <c r="A445" s="277" t="s">
        <v>104</v>
      </c>
      <c r="B445" s="236" t="s">
        <v>236</v>
      </c>
      <c r="C445" s="24"/>
      <c r="D445" s="24"/>
      <c r="E445" s="24"/>
      <c r="F445" s="24"/>
      <c r="G445" s="24"/>
      <c r="H445" s="24"/>
      <c r="K445" s="308" t="s">
        <v>85</v>
      </c>
      <c r="L445" s="40"/>
      <c r="M445" s="1"/>
    </row>
    <row r="446" spans="1:21" ht="15" x14ac:dyDescent="0.25">
      <c r="A446" s="277" t="s">
        <v>87</v>
      </c>
      <c r="B446" s="403" t="s">
        <v>155</v>
      </c>
      <c r="C446" s="404"/>
      <c r="D446" s="404"/>
      <c r="E446" s="404"/>
      <c r="F446" s="404"/>
      <c r="G446" s="404"/>
      <c r="H446" s="24"/>
      <c r="K446" s="308" t="s">
        <v>85</v>
      </c>
      <c r="L446" s="40"/>
      <c r="M446" s="1"/>
      <c r="T446"/>
      <c r="U446"/>
    </row>
    <row r="447" spans="1:21" ht="15" x14ac:dyDescent="0.25">
      <c r="A447" s="277" t="s">
        <v>110</v>
      </c>
      <c r="B447" s="236" t="s">
        <v>85</v>
      </c>
      <c r="C447" s="24"/>
      <c r="D447" s="24"/>
      <c r="E447" s="24"/>
      <c r="F447" s="24"/>
      <c r="G447" s="24"/>
      <c r="H447" s="24"/>
      <c r="K447" s="308" t="s">
        <v>85</v>
      </c>
      <c r="L447" s="40"/>
      <c r="M447" s="1"/>
      <c r="N447" s="23"/>
      <c r="O447" s="23"/>
      <c r="P447" s="23"/>
      <c r="Q447" s="23"/>
      <c r="R447" s="23"/>
      <c r="S447" s="23"/>
    </row>
    <row r="448" spans="1:21" ht="15" x14ac:dyDescent="0.25">
      <c r="A448" s="277" t="s">
        <v>138</v>
      </c>
      <c r="B448" s="236" t="s">
        <v>85</v>
      </c>
      <c r="C448" s="24"/>
      <c r="D448" s="24"/>
      <c r="E448" s="24"/>
      <c r="F448" s="24"/>
      <c r="G448" s="24"/>
      <c r="H448" s="24"/>
      <c r="K448" s="308" t="s">
        <v>85</v>
      </c>
      <c r="L448" s="40"/>
      <c r="M448" s="1"/>
    </row>
    <row r="449" spans="1:21" ht="15" x14ac:dyDescent="0.25">
      <c r="A449" s="277" t="s">
        <v>140</v>
      </c>
      <c r="B449" s="236" t="s">
        <v>85</v>
      </c>
      <c r="C449" s="24"/>
      <c r="D449" s="24"/>
      <c r="E449" s="24"/>
      <c r="F449" s="24"/>
      <c r="G449" s="24"/>
      <c r="H449" s="24"/>
      <c r="K449" s="308" t="s">
        <v>85</v>
      </c>
      <c r="L449" s="40"/>
      <c r="M449" s="1"/>
    </row>
    <row r="450" spans="1:21" ht="15" x14ac:dyDescent="0.25">
      <c r="A450" s="277" t="s">
        <v>142</v>
      </c>
      <c r="B450" s="236" t="s">
        <v>85</v>
      </c>
      <c r="C450" s="24"/>
      <c r="D450" s="24"/>
      <c r="E450" s="24"/>
      <c r="F450" s="24"/>
      <c r="G450" s="24"/>
      <c r="H450" s="24"/>
      <c r="K450" s="308" t="s">
        <v>85</v>
      </c>
      <c r="L450" s="40"/>
      <c r="M450" s="1"/>
    </row>
    <row r="451" spans="1:21" customFormat="1" ht="30" x14ac:dyDescent="0.25">
      <c r="A451" s="278" t="s">
        <v>144</v>
      </c>
      <c r="B451" s="236" t="str">
        <f>IF(B441=$N$5,"Yes","No")</f>
        <v>No</v>
      </c>
      <c r="C451" s="24"/>
      <c r="D451" s="24"/>
      <c r="E451" s="24"/>
      <c r="F451" s="24"/>
      <c r="G451" s="24"/>
      <c r="H451" s="231"/>
      <c r="I451" s="35"/>
      <c r="J451" s="2"/>
      <c r="K451" s="308" t="s">
        <v>85</v>
      </c>
      <c r="L451" s="40"/>
      <c r="M451" s="1"/>
      <c r="N451" s="2"/>
      <c r="O451" s="2"/>
      <c r="P451" s="2"/>
      <c r="Q451" s="2"/>
      <c r="R451" s="2"/>
      <c r="S451" s="2"/>
      <c r="T451" s="8"/>
      <c r="U451" s="8"/>
    </row>
    <row r="452" spans="1:21" ht="14.1" customHeight="1" x14ac:dyDescent="0.25">
      <c r="A452" s="229" t="s">
        <v>121</v>
      </c>
      <c r="B452" s="403" t="s">
        <v>261</v>
      </c>
      <c r="C452" s="404"/>
      <c r="D452" s="404"/>
      <c r="E452" s="404"/>
      <c r="F452" s="404"/>
      <c r="G452" s="404"/>
      <c r="H452" s="24"/>
      <c r="J452" s="22"/>
      <c r="K452" s="308" t="s">
        <v>85</v>
      </c>
      <c r="L452" s="40"/>
      <c r="M452" s="1"/>
      <c r="N452" s="8"/>
      <c r="O452" s="8"/>
      <c r="P452" s="8"/>
      <c r="Q452" s="8"/>
      <c r="R452" s="8"/>
      <c r="S452" s="8"/>
    </row>
    <row r="453" spans="1:21" ht="15" thickBot="1" x14ac:dyDescent="0.25">
      <c r="A453" s="24"/>
      <c r="B453" s="236"/>
      <c r="C453" s="24"/>
      <c r="D453" s="24"/>
      <c r="E453" s="24"/>
      <c r="F453" s="24"/>
      <c r="G453" s="24"/>
      <c r="H453" s="24"/>
      <c r="K453" s="308" t="s">
        <v>85</v>
      </c>
      <c r="L453" s="40"/>
      <c r="M453" s="1"/>
    </row>
    <row r="454" spans="1:21" ht="15.75" thickBot="1" x14ac:dyDescent="0.3">
      <c r="A454" s="275" t="s">
        <v>270</v>
      </c>
      <c r="B454" s="401" t="s">
        <v>271</v>
      </c>
      <c r="C454" s="402"/>
      <c r="D454" s="402"/>
      <c r="E454" s="402"/>
      <c r="F454" s="402"/>
      <c r="G454" s="402"/>
      <c r="H454" s="402"/>
      <c r="K454" s="308" t="s">
        <v>85</v>
      </c>
      <c r="L454" s="40"/>
      <c r="M454" s="1"/>
    </row>
    <row r="455" spans="1:21" ht="15" x14ac:dyDescent="0.25">
      <c r="A455" s="229" t="s">
        <v>87</v>
      </c>
      <c r="B455" s="236" t="s">
        <v>95</v>
      </c>
      <c r="C455" s="24"/>
      <c r="D455" s="24"/>
      <c r="E455" s="24"/>
      <c r="F455" s="24"/>
      <c r="G455" s="24"/>
      <c r="H455" s="24"/>
      <c r="K455" s="308" t="s">
        <v>85</v>
      </c>
      <c r="L455" s="40"/>
      <c r="M455" s="1"/>
    </row>
    <row r="456" spans="1:21" ht="29.25" x14ac:dyDescent="0.25">
      <c r="A456" s="276"/>
      <c r="B456" s="237" t="str">
        <f>CONCATENATE($O$2&amp;": "&amp;VLOOKUP($B455,$N$4:$U$27,2,0))</f>
        <v>Font: Arial</v>
      </c>
      <c r="C456" s="19" t="str">
        <f>CONCATENATE($P$2&amp;": "&amp;VLOOKUP($B455,$N$4:$U$27,3,0))</f>
        <v>T-face: Normal</v>
      </c>
      <c r="D456" s="19" t="str">
        <f>CONCATENATE($Q$2&amp;": "&amp;VLOOKUP($B455,$N$4:$U$27,4,0))</f>
        <v>Font size: 11</v>
      </c>
      <c r="E456" s="19" t="str">
        <f>CONCATENATE($R$2&amp;": "&amp;VLOOKUP($B455,$N$4:$U$27,5,0))</f>
        <v>Row height: Dependant</v>
      </c>
      <c r="F456" s="19" t="str">
        <f>CONCATENATE($S$2&amp;": "&amp;VLOOKUP($B455,$N$4:$U$27,6,0))</f>
        <v>Text col: Black</v>
      </c>
      <c r="G456" s="19" t="str">
        <f>CONCATENATE($T$2&amp;": "&amp;VLOOKUP($B455,$N$4:$U$27,7,0))</f>
        <v>BG col: Light grey</v>
      </c>
      <c r="H456" s="19" t="str">
        <f>CONCATENATE($U$2&amp;": "&amp;VLOOKUP($B455,$N$4:$U$27,8,0))</f>
        <v>Just: Right</v>
      </c>
      <c r="K456" s="308" t="s">
        <v>85</v>
      </c>
      <c r="L456" s="40"/>
      <c r="M456" s="1"/>
    </row>
    <row r="457" spans="1:21" ht="15" x14ac:dyDescent="0.25">
      <c r="A457" s="229" t="s">
        <v>99</v>
      </c>
      <c r="B457" s="236" t="s">
        <v>246</v>
      </c>
      <c r="C457" s="24"/>
      <c r="D457" s="24"/>
      <c r="E457" s="24"/>
      <c r="F457" s="24"/>
      <c r="G457" s="24"/>
      <c r="H457" s="24"/>
      <c r="K457" s="308" t="s">
        <v>85</v>
      </c>
      <c r="L457" s="40"/>
      <c r="M457" s="1"/>
    </row>
    <row r="458" spans="1:21" ht="15" x14ac:dyDescent="0.25">
      <c r="A458" s="229" t="s">
        <v>102</v>
      </c>
      <c r="B458" s="245">
        <f>IF('Borrowing expenses'!E28="",B461,'Borrowing expenses'!E28)</f>
        <v>41456</v>
      </c>
      <c r="C458" s="24"/>
      <c r="D458" s="58"/>
      <c r="E458" s="24"/>
      <c r="F458" s="24"/>
      <c r="G458" s="24"/>
      <c r="H458" s="24"/>
      <c r="K458" s="308" t="s">
        <v>151</v>
      </c>
      <c r="L458" s="40"/>
      <c r="M458" s="1"/>
    </row>
    <row r="459" spans="1:21" ht="15" x14ac:dyDescent="0.25">
      <c r="A459" s="277" t="s">
        <v>247</v>
      </c>
      <c r="B459" s="242" t="s">
        <v>272</v>
      </c>
      <c r="C459" s="24"/>
      <c r="D459" s="24"/>
      <c r="E459" s="24"/>
      <c r="F459" s="24"/>
      <c r="G459" s="24"/>
      <c r="H459" s="24"/>
      <c r="K459" s="308" t="s">
        <v>85</v>
      </c>
      <c r="L459" s="40"/>
      <c r="M459" s="1"/>
    </row>
    <row r="460" spans="1:21" ht="15" x14ac:dyDescent="0.25">
      <c r="A460" s="277" t="s">
        <v>87</v>
      </c>
      <c r="B460" s="403" t="s">
        <v>18</v>
      </c>
      <c r="C460" s="404"/>
      <c r="D460" s="404"/>
      <c r="E460" s="404"/>
      <c r="F460" s="404"/>
      <c r="G460" s="404"/>
      <c r="H460" s="24"/>
      <c r="K460" s="308" t="s">
        <v>85</v>
      </c>
      <c r="L460" s="40"/>
      <c r="M460" s="1"/>
      <c r="T460"/>
      <c r="U460"/>
    </row>
    <row r="461" spans="1:21" ht="15" x14ac:dyDescent="0.25">
      <c r="A461" s="277" t="s">
        <v>110</v>
      </c>
      <c r="B461" s="246">
        <v>41456</v>
      </c>
      <c r="C461" s="24"/>
      <c r="D461" s="24"/>
      <c r="E461" s="24"/>
      <c r="F461" s="24"/>
      <c r="G461" s="24"/>
      <c r="H461" s="24"/>
      <c r="K461" s="308" t="s">
        <v>85</v>
      </c>
      <c r="L461" s="40"/>
      <c r="M461" s="1"/>
      <c r="N461" s="23"/>
      <c r="O461" s="23"/>
      <c r="P461" s="23"/>
      <c r="Q461" s="23"/>
      <c r="R461" s="23"/>
      <c r="S461" s="23"/>
    </row>
    <row r="462" spans="1:21" ht="15" x14ac:dyDescent="0.25">
      <c r="A462" s="277" t="s">
        <v>138</v>
      </c>
      <c r="B462" s="246">
        <f ca="1">TODAY()</f>
        <v>46132</v>
      </c>
      <c r="C462" s="24" t="s">
        <v>273</v>
      </c>
      <c r="D462" s="24"/>
      <c r="E462" s="24"/>
      <c r="F462" s="24"/>
      <c r="G462" s="24"/>
      <c r="H462" s="24"/>
      <c r="K462" s="308" t="s">
        <v>85</v>
      </c>
      <c r="L462" s="40"/>
      <c r="M462" s="1"/>
    </row>
    <row r="463" spans="1:21" ht="15" x14ac:dyDescent="0.25">
      <c r="A463" s="277" t="s">
        <v>140</v>
      </c>
      <c r="B463" s="405" t="s">
        <v>249</v>
      </c>
      <c r="C463" s="406"/>
      <c r="D463" s="406"/>
      <c r="E463" s="406"/>
      <c r="F463" s="406"/>
      <c r="G463" s="406"/>
      <c r="H463" s="24"/>
      <c r="K463" s="308" t="s">
        <v>85</v>
      </c>
      <c r="L463" s="40"/>
      <c r="M463" s="1"/>
    </row>
    <row r="464" spans="1:21" ht="15" x14ac:dyDescent="0.25">
      <c r="A464" s="277" t="s">
        <v>142</v>
      </c>
      <c r="B464" s="236" t="s">
        <v>85</v>
      </c>
      <c r="C464" s="24"/>
      <c r="D464" s="24"/>
      <c r="E464" s="24"/>
      <c r="F464" s="24"/>
      <c r="G464" s="24"/>
      <c r="H464" s="24"/>
      <c r="K464" s="308" t="s">
        <v>85</v>
      </c>
      <c r="L464" s="40"/>
      <c r="M464" s="1"/>
    </row>
    <row r="465" spans="1:21" ht="30" x14ac:dyDescent="0.25">
      <c r="A465" s="278" t="s">
        <v>144</v>
      </c>
      <c r="B465" s="236" t="str">
        <f>IF(B455=$N$5,"Yes","No")</f>
        <v>Yes</v>
      </c>
      <c r="C465" s="24"/>
      <c r="D465" s="24"/>
      <c r="E465" s="24"/>
      <c r="F465" s="24"/>
      <c r="G465" s="24"/>
      <c r="H465" s="231"/>
      <c r="K465" s="308" t="s">
        <v>85</v>
      </c>
      <c r="L465" s="40"/>
      <c r="M465" s="1"/>
    </row>
    <row r="466" spans="1:21" ht="15" x14ac:dyDescent="0.25">
      <c r="A466" s="229" t="s">
        <v>121</v>
      </c>
      <c r="B466" s="403" t="s">
        <v>274</v>
      </c>
      <c r="C466" s="404"/>
      <c r="D466" s="404"/>
      <c r="E466" s="404"/>
      <c r="F466" s="404"/>
      <c r="G466" s="404"/>
      <c r="H466" s="24"/>
      <c r="K466" s="308" t="s">
        <v>85</v>
      </c>
      <c r="L466" s="40"/>
      <c r="M466" s="1"/>
    </row>
    <row r="467" spans="1:21" ht="15" thickBot="1" x14ac:dyDescent="0.25">
      <c r="A467" s="24"/>
      <c r="B467" s="236"/>
      <c r="C467" s="24"/>
      <c r="D467" s="24"/>
      <c r="E467" s="24"/>
      <c r="F467" s="24"/>
      <c r="G467" s="24"/>
      <c r="H467" s="24"/>
      <c r="K467" s="308" t="s">
        <v>85</v>
      </c>
      <c r="L467" s="40"/>
      <c r="M467" s="1"/>
    </row>
    <row r="468" spans="1:21" ht="15.75" thickBot="1" x14ac:dyDescent="0.3">
      <c r="A468" s="275" t="s">
        <v>275</v>
      </c>
      <c r="B468" s="401" t="s">
        <v>276</v>
      </c>
      <c r="C468" s="402"/>
      <c r="D468" s="402"/>
      <c r="E468" s="402"/>
      <c r="F468" s="402"/>
      <c r="G468" s="402"/>
      <c r="H468" s="402"/>
      <c r="K468" s="308" t="s">
        <v>85</v>
      </c>
      <c r="L468" s="40"/>
      <c r="M468" s="1"/>
    </row>
    <row r="469" spans="1:21" ht="15" x14ac:dyDescent="0.25">
      <c r="A469" s="229" t="s">
        <v>87</v>
      </c>
      <c r="B469" s="236" t="s">
        <v>124</v>
      </c>
      <c r="C469" s="24"/>
      <c r="D469" s="24"/>
      <c r="E469" s="24"/>
      <c r="F469" s="24"/>
      <c r="G469" s="24"/>
      <c r="H469" s="24"/>
      <c r="K469" s="308" t="s">
        <v>85</v>
      </c>
      <c r="L469" s="40"/>
      <c r="M469" s="1"/>
    </row>
    <row r="470" spans="1:21" s="8" customFormat="1" ht="29.25" x14ac:dyDescent="0.25">
      <c r="A470" s="276"/>
      <c r="B470" s="237" t="str">
        <f>CONCATENATE($O$2&amp;": "&amp;VLOOKUP($B469,$N$4:$U$27,2,0))</f>
        <v>Font: Arial</v>
      </c>
      <c r="C470" s="19" t="str">
        <f>CONCATENATE($P$2&amp;": "&amp;VLOOKUP($B469,$N$4:$U$27,3,0))</f>
        <v>T-face: Normal</v>
      </c>
      <c r="D470" s="19" t="str">
        <f>CONCATENATE($Q$2&amp;": "&amp;VLOOKUP($B469,$N$4:$U$27,4,0))</f>
        <v>Font size: 11</v>
      </c>
      <c r="E470" s="19" t="str">
        <f>CONCATENATE($R$2&amp;": "&amp;VLOOKUP($B469,$N$4:$U$27,5,0))</f>
        <v>Row height: 26.5</v>
      </c>
      <c r="F470" s="19" t="str">
        <f>CONCATENATE($S$2&amp;": "&amp;VLOOKUP($B469,$N$4:$U$27,6,0))</f>
        <v>Text col: Black</v>
      </c>
      <c r="G470" s="19" t="str">
        <f>CONCATENATE($T$2&amp;": "&amp;VLOOKUP($B469,$N$4:$U$27,7,0))</f>
        <v>BG col: White</v>
      </c>
      <c r="H470" s="19" t="str">
        <f>CONCATENATE($U$2&amp;": "&amp;VLOOKUP($B469,$N$4:$U$27,8,0))</f>
        <v>Just: Left</v>
      </c>
      <c r="I470" s="37"/>
      <c r="J470" s="2"/>
      <c r="K470" s="308" t="s">
        <v>85</v>
      </c>
      <c r="L470" s="40"/>
      <c r="M470" s="1"/>
      <c r="N470" s="2"/>
      <c r="O470" s="2"/>
      <c r="P470" s="2"/>
      <c r="Q470" s="2"/>
      <c r="R470" s="2"/>
      <c r="S470" s="2"/>
      <c r="T470" s="2"/>
      <c r="U470" s="2"/>
    </row>
    <row r="471" spans="1:21" ht="15" x14ac:dyDescent="0.25">
      <c r="A471" s="229" t="s">
        <v>99</v>
      </c>
      <c r="B471" s="236" t="s">
        <v>240</v>
      </c>
      <c r="C471" s="24"/>
      <c r="D471" s="24"/>
      <c r="E471" s="24"/>
      <c r="F471" s="24"/>
      <c r="G471" s="24"/>
      <c r="H471" s="24"/>
      <c r="J471" s="8"/>
      <c r="K471" s="308" t="s">
        <v>85</v>
      </c>
      <c r="L471" s="40"/>
      <c r="M471" s="1"/>
    </row>
    <row r="472" spans="1:21" ht="15" x14ac:dyDescent="0.25">
      <c r="A472" s="229" t="s">
        <v>102</v>
      </c>
      <c r="B472" s="238" t="s">
        <v>277</v>
      </c>
      <c r="C472" s="39"/>
      <c r="D472" s="39"/>
      <c r="E472" s="39"/>
      <c r="F472" s="39"/>
      <c r="G472" s="39"/>
      <c r="H472" s="24"/>
      <c r="K472" s="308" t="s">
        <v>151</v>
      </c>
      <c r="L472" s="40"/>
      <c r="M472" s="1"/>
    </row>
    <row r="473" spans="1:21" ht="15" x14ac:dyDescent="0.25">
      <c r="A473" s="277" t="s">
        <v>104</v>
      </c>
      <c r="B473" s="236" t="s">
        <v>242</v>
      </c>
      <c r="C473" s="24"/>
      <c r="D473" s="24"/>
      <c r="E473" s="24"/>
      <c r="F473" s="24"/>
      <c r="G473" s="24"/>
      <c r="H473" s="24"/>
      <c r="K473" s="308" t="s">
        <v>85</v>
      </c>
      <c r="L473" s="40"/>
      <c r="M473" s="1"/>
    </row>
    <row r="474" spans="1:21" ht="15" x14ac:dyDescent="0.25">
      <c r="A474" s="277" t="s">
        <v>87</v>
      </c>
      <c r="B474" s="403" t="s">
        <v>155</v>
      </c>
      <c r="C474" s="404"/>
      <c r="D474" s="404"/>
      <c r="E474" s="404"/>
      <c r="F474" s="404"/>
      <c r="G474" s="404"/>
      <c r="H474" s="24"/>
      <c r="K474" s="308" t="s">
        <v>85</v>
      </c>
      <c r="L474" s="40"/>
      <c r="M474" s="1"/>
      <c r="T474"/>
      <c r="U474"/>
    </row>
    <row r="475" spans="1:21" ht="15" x14ac:dyDescent="0.25">
      <c r="A475" s="277" t="s">
        <v>110</v>
      </c>
      <c r="B475" s="236" t="s">
        <v>85</v>
      </c>
      <c r="C475" s="24"/>
      <c r="D475" s="24"/>
      <c r="E475" s="24"/>
      <c r="F475" s="24"/>
      <c r="G475" s="24"/>
      <c r="H475" s="24"/>
      <c r="K475" s="308" t="s">
        <v>85</v>
      </c>
      <c r="L475" s="40"/>
      <c r="M475" s="1"/>
      <c r="N475" s="23"/>
      <c r="O475" s="23"/>
      <c r="P475" s="23"/>
      <c r="Q475" s="23"/>
      <c r="R475" s="23"/>
      <c r="S475" s="23"/>
    </row>
    <row r="476" spans="1:21" ht="15" x14ac:dyDescent="0.25">
      <c r="A476" s="277" t="s">
        <v>138</v>
      </c>
      <c r="B476" s="236" t="s">
        <v>85</v>
      </c>
      <c r="C476" s="24"/>
      <c r="D476" s="24"/>
      <c r="E476" s="24"/>
      <c r="F476" s="24"/>
      <c r="G476" s="24"/>
      <c r="H476" s="24"/>
      <c r="K476" s="308" t="s">
        <v>85</v>
      </c>
      <c r="L476" s="148"/>
      <c r="M476" s="148"/>
    </row>
    <row r="477" spans="1:21" ht="15" x14ac:dyDescent="0.25">
      <c r="A477" s="277" t="s">
        <v>140</v>
      </c>
      <c r="B477" s="236" t="s">
        <v>85</v>
      </c>
      <c r="C477" s="24"/>
      <c r="D477" s="24"/>
      <c r="E477" s="24"/>
      <c r="F477" s="24"/>
      <c r="G477" s="24"/>
      <c r="H477" s="24"/>
      <c r="K477" s="308" t="s">
        <v>85</v>
      </c>
      <c r="L477" s="47"/>
      <c r="M477" s="47"/>
    </row>
    <row r="478" spans="1:21" ht="15" x14ac:dyDescent="0.25">
      <c r="A478" s="277" t="s">
        <v>142</v>
      </c>
      <c r="B478" s="236" t="s">
        <v>85</v>
      </c>
      <c r="C478" s="24"/>
      <c r="D478" s="24"/>
      <c r="E478" s="24"/>
      <c r="F478" s="24"/>
      <c r="G478" s="24"/>
      <c r="H478" s="24"/>
      <c r="K478" s="308" t="s">
        <v>85</v>
      </c>
      <c r="L478" s="40"/>
      <c r="M478" s="1"/>
    </row>
    <row r="479" spans="1:21" ht="30" x14ac:dyDescent="0.25">
      <c r="A479" s="278" t="s">
        <v>144</v>
      </c>
      <c r="B479" s="236" t="str">
        <f>IF(B469=$N$5,"Yes","No")</f>
        <v>No</v>
      </c>
      <c r="C479" s="24"/>
      <c r="D479" s="24"/>
      <c r="E479" s="24"/>
      <c r="F479" s="24"/>
      <c r="G479" s="24"/>
      <c r="H479" s="231"/>
      <c r="K479" s="308" t="s">
        <v>85</v>
      </c>
      <c r="L479" s="40"/>
      <c r="M479" s="1"/>
      <c r="T479" s="8"/>
      <c r="U479" s="8"/>
    </row>
    <row r="480" spans="1:21" ht="15" x14ac:dyDescent="0.25">
      <c r="A480" s="229" t="s">
        <v>121</v>
      </c>
      <c r="B480" s="403" t="s">
        <v>278</v>
      </c>
      <c r="C480" s="404"/>
      <c r="D480" s="404"/>
      <c r="E480" s="404"/>
      <c r="F480" s="404"/>
      <c r="G480" s="404"/>
      <c r="H480" s="24"/>
      <c r="K480" s="308" t="s">
        <v>85</v>
      </c>
      <c r="L480" s="40"/>
      <c r="M480" s="1"/>
      <c r="N480" s="148"/>
      <c r="T480" s="8"/>
      <c r="U480" s="8"/>
    </row>
    <row r="481" spans="1:21" ht="15" thickBot="1" x14ac:dyDescent="0.25">
      <c r="A481" s="24"/>
      <c r="B481" s="236"/>
      <c r="C481" s="24"/>
      <c r="D481" s="24"/>
      <c r="E481" s="24"/>
      <c r="F481" s="24"/>
      <c r="G481" s="24"/>
      <c r="H481" s="24"/>
      <c r="K481" s="308" t="s">
        <v>85</v>
      </c>
      <c r="L481" s="40"/>
      <c r="M481" s="1"/>
      <c r="T481" s="8"/>
      <c r="U481" s="8"/>
    </row>
    <row r="482" spans="1:21" ht="15.75" thickBot="1" x14ac:dyDescent="0.3">
      <c r="A482" s="275" t="s">
        <v>279</v>
      </c>
      <c r="B482" s="401" t="s">
        <v>280</v>
      </c>
      <c r="C482" s="402"/>
      <c r="D482" s="402"/>
      <c r="E482" s="402"/>
      <c r="F482" s="402"/>
      <c r="G482" s="402"/>
      <c r="H482" s="402"/>
      <c r="K482" s="308" t="s">
        <v>85</v>
      </c>
      <c r="L482" s="40"/>
      <c r="M482" s="1"/>
      <c r="N482" s="8"/>
      <c r="O482" s="8"/>
      <c r="P482" s="8"/>
      <c r="Q482" s="8"/>
      <c r="R482" s="8"/>
      <c r="S482" s="8"/>
    </row>
    <row r="483" spans="1:21" ht="15" x14ac:dyDescent="0.25">
      <c r="A483" s="229" t="s">
        <v>87</v>
      </c>
      <c r="B483" s="236" t="s">
        <v>95</v>
      </c>
      <c r="C483" s="24"/>
      <c r="D483" s="24"/>
      <c r="E483" s="24"/>
      <c r="F483" s="24"/>
      <c r="G483" s="24"/>
      <c r="H483" s="24"/>
      <c r="K483" s="308" t="s">
        <v>85</v>
      </c>
      <c r="L483" s="40"/>
      <c r="M483" s="1"/>
      <c r="N483" s="8"/>
      <c r="O483" s="8"/>
      <c r="P483" s="8"/>
      <c r="Q483" s="8"/>
      <c r="R483" s="8"/>
      <c r="S483" s="8"/>
    </row>
    <row r="484" spans="1:21" ht="29.25" x14ac:dyDescent="0.25">
      <c r="A484" s="229"/>
      <c r="B484" s="237" t="str">
        <f>CONCATENATE($O$2&amp;": "&amp;VLOOKUP($B483,$N$4:$U$27,2,0))</f>
        <v>Font: Arial</v>
      </c>
      <c r="C484" s="19" t="str">
        <f>CONCATENATE($P$2&amp;": "&amp;VLOOKUP($B483,$N$4:$U$27,3,0))</f>
        <v>T-face: Normal</v>
      </c>
      <c r="D484" s="19" t="str">
        <f>CONCATENATE($Q$2&amp;": "&amp;VLOOKUP($B483,$N$4:$U$27,4,0))</f>
        <v>Font size: 11</v>
      </c>
      <c r="E484" s="19" t="str">
        <f>CONCATENATE($R$2&amp;": "&amp;VLOOKUP($B483,$N$4:$U$27,5,0))</f>
        <v>Row height: Dependant</v>
      </c>
      <c r="F484" s="19" t="str">
        <f>CONCATENATE($S$2&amp;": "&amp;VLOOKUP($B483,$N$4:$U$27,6,0))</f>
        <v>Text col: Black</v>
      </c>
      <c r="G484" s="19" t="str">
        <f>CONCATENATE($T$2&amp;": "&amp;VLOOKUP($B483,$N$4:$U$27,7,0))</f>
        <v>BG col: Light grey</v>
      </c>
      <c r="H484" s="19" t="str">
        <f>CONCATENATE($U$2&amp;": "&amp;VLOOKUP($B483,$N$4:$U$27,8,0))</f>
        <v>Just: Right</v>
      </c>
      <c r="K484" s="308" t="s">
        <v>85</v>
      </c>
      <c r="L484" s="40"/>
      <c r="M484" s="1"/>
    </row>
    <row r="485" spans="1:21" ht="15" x14ac:dyDescent="0.25">
      <c r="A485" s="229" t="s">
        <v>99</v>
      </c>
      <c r="B485" s="236" t="s">
        <v>281</v>
      </c>
      <c r="C485" s="24"/>
      <c r="D485" s="24"/>
      <c r="E485" s="24"/>
      <c r="F485" s="24"/>
      <c r="G485" s="24"/>
      <c r="H485" s="24"/>
      <c r="K485" s="308" t="s">
        <v>85</v>
      </c>
      <c r="L485" s="40"/>
      <c r="M485" s="1"/>
    </row>
    <row r="486" spans="1:21" ht="15" x14ac:dyDescent="0.25">
      <c r="A486" s="229" t="s">
        <v>102</v>
      </c>
      <c r="B486" s="247" t="str">
        <f>'Borrowing expenses'!E29</f>
        <v>- Select -</v>
      </c>
      <c r="C486" s="24"/>
      <c r="D486" s="24"/>
      <c r="E486" s="24"/>
      <c r="F486" s="24"/>
      <c r="G486" s="24"/>
      <c r="H486" s="24"/>
      <c r="K486" s="308" t="s">
        <v>151</v>
      </c>
      <c r="L486" s="40"/>
      <c r="M486" s="1"/>
    </row>
    <row r="487" spans="1:21" ht="15" x14ac:dyDescent="0.25">
      <c r="A487" s="277" t="s">
        <v>104</v>
      </c>
      <c r="B487" s="236" t="s">
        <v>282</v>
      </c>
      <c r="C487" s="24"/>
      <c r="D487" s="24"/>
      <c r="E487" s="24"/>
      <c r="F487" s="24"/>
      <c r="G487" s="24"/>
      <c r="H487" s="24"/>
      <c r="K487" s="308" t="s">
        <v>85</v>
      </c>
      <c r="L487" s="40"/>
      <c r="M487" s="1"/>
    </row>
    <row r="488" spans="1:21" ht="15" x14ac:dyDescent="0.25">
      <c r="A488" s="277" t="s">
        <v>87</v>
      </c>
      <c r="B488" s="403" t="s">
        <v>265</v>
      </c>
      <c r="C488" s="404"/>
      <c r="D488" s="404"/>
      <c r="E488" s="404"/>
      <c r="F488" s="404"/>
      <c r="G488" s="404"/>
      <c r="H488" s="24"/>
      <c r="K488" s="308" t="s">
        <v>85</v>
      </c>
      <c r="L488" s="40"/>
      <c r="M488" s="1"/>
      <c r="T488"/>
      <c r="U488"/>
    </row>
    <row r="489" spans="1:21" ht="15" x14ac:dyDescent="0.25">
      <c r="A489" s="277" t="s">
        <v>283</v>
      </c>
      <c r="B489" s="248" t="s">
        <v>11</v>
      </c>
      <c r="C489" s="150"/>
      <c r="D489" s="150"/>
      <c r="E489" s="150"/>
      <c r="F489" s="150"/>
      <c r="G489" s="150"/>
      <c r="H489" s="24"/>
      <c r="K489" s="308" t="s">
        <v>151</v>
      </c>
      <c r="L489" s="40"/>
      <c r="M489" s="1"/>
      <c r="N489" s="23"/>
      <c r="O489" s="23"/>
      <c r="P489" s="23"/>
      <c r="Q489" s="23"/>
      <c r="R489" s="23"/>
      <c r="S489" s="23"/>
    </row>
    <row r="490" spans="1:21" ht="15" x14ac:dyDescent="0.25">
      <c r="A490" s="277"/>
      <c r="B490" s="249">
        <v>1</v>
      </c>
      <c r="C490" s="24"/>
      <c r="D490" s="24"/>
      <c r="E490" s="24"/>
      <c r="F490" s="24"/>
      <c r="G490" s="24"/>
      <c r="H490" s="24"/>
      <c r="K490" s="308" t="s">
        <v>151</v>
      </c>
      <c r="L490" s="40"/>
      <c r="M490" s="1"/>
    </row>
    <row r="491" spans="1:21" ht="15" x14ac:dyDescent="0.25">
      <c r="A491" s="277"/>
      <c r="B491" s="249">
        <v>2</v>
      </c>
      <c r="C491" s="24"/>
      <c r="D491" s="24"/>
      <c r="E491" s="24"/>
      <c r="F491" s="24"/>
      <c r="G491" s="24"/>
      <c r="H491" s="24"/>
      <c r="K491" s="308" t="s">
        <v>151</v>
      </c>
      <c r="L491" s="40"/>
      <c r="M491" s="1"/>
    </row>
    <row r="492" spans="1:21" ht="15" x14ac:dyDescent="0.25">
      <c r="A492" s="277"/>
      <c r="B492" s="249">
        <v>3</v>
      </c>
      <c r="C492" s="24"/>
      <c r="D492" s="24"/>
      <c r="E492" s="24"/>
      <c r="F492" s="24"/>
      <c r="G492" s="24"/>
      <c r="H492" s="24"/>
      <c r="K492" s="308" t="s">
        <v>151</v>
      </c>
      <c r="L492" s="40"/>
      <c r="M492" s="1"/>
    </row>
    <row r="493" spans="1:21" ht="15" x14ac:dyDescent="0.25">
      <c r="A493" s="277"/>
      <c r="B493" s="249">
        <v>4</v>
      </c>
      <c r="C493" s="24"/>
      <c r="D493" s="24"/>
      <c r="E493" s="24"/>
      <c r="F493" s="24"/>
      <c r="G493" s="24"/>
      <c r="H493" s="24"/>
      <c r="K493" s="308" t="s">
        <v>151</v>
      </c>
      <c r="L493" s="40"/>
      <c r="M493" s="1"/>
    </row>
    <row r="494" spans="1:21" ht="15" x14ac:dyDescent="0.25">
      <c r="A494" s="277"/>
      <c r="B494" s="249">
        <v>5</v>
      </c>
      <c r="C494" s="24"/>
      <c r="D494" s="24"/>
      <c r="E494" s="24"/>
      <c r="F494" s="24"/>
      <c r="G494" s="24"/>
      <c r="H494" s="24"/>
      <c r="K494" s="308" t="s">
        <v>151</v>
      </c>
      <c r="L494" s="40"/>
      <c r="M494" s="1"/>
    </row>
    <row r="495" spans="1:21" ht="15" x14ac:dyDescent="0.25">
      <c r="A495" s="277"/>
      <c r="B495" s="249">
        <v>6</v>
      </c>
      <c r="C495" s="24"/>
      <c r="D495" s="24"/>
      <c r="E495" s="24"/>
      <c r="F495" s="24"/>
      <c r="G495" s="24"/>
      <c r="H495" s="24"/>
      <c r="K495" s="308" t="s">
        <v>151</v>
      </c>
      <c r="L495" s="40"/>
      <c r="M495" s="1"/>
    </row>
    <row r="496" spans="1:21" ht="15" x14ac:dyDescent="0.25">
      <c r="A496" s="277"/>
      <c r="B496" s="249">
        <v>7</v>
      </c>
      <c r="C496" s="24"/>
      <c r="D496" s="24"/>
      <c r="E496" s="24"/>
      <c r="F496" s="24"/>
      <c r="G496" s="24"/>
      <c r="H496" s="24"/>
      <c r="K496" s="308" t="s">
        <v>151</v>
      </c>
      <c r="L496" s="40"/>
      <c r="M496" s="1"/>
    </row>
    <row r="497" spans="1:13" ht="15" x14ac:dyDescent="0.25">
      <c r="A497" s="277"/>
      <c r="B497" s="249">
        <v>8</v>
      </c>
      <c r="C497" s="24"/>
      <c r="D497" s="24"/>
      <c r="E497" s="24"/>
      <c r="F497" s="24"/>
      <c r="G497" s="24"/>
      <c r="H497" s="24"/>
      <c r="K497" s="308" t="s">
        <v>151</v>
      </c>
      <c r="L497" s="40"/>
      <c r="M497" s="1"/>
    </row>
    <row r="498" spans="1:13" ht="15" x14ac:dyDescent="0.25">
      <c r="A498" s="277"/>
      <c r="B498" s="249">
        <v>9</v>
      </c>
      <c r="C498" s="24"/>
      <c r="D498" s="24"/>
      <c r="E498" s="24"/>
      <c r="F498" s="24"/>
      <c r="G498" s="24"/>
      <c r="H498" s="24"/>
      <c r="K498" s="308" t="s">
        <v>151</v>
      </c>
      <c r="L498" s="40"/>
      <c r="M498" s="1"/>
    </row>
    <row r="499" spans="1:13" ht="15" x14ac:dyDescent="0.25">
      <c r="A499" s="277"/>
      <c r="B499" s="249">
        <v>10</v>
      </c>
      <c r="C499" s="24"/>
      <c r="D499" s="24"/>
      <c r="E499" s="24"/>
      <c r="F499" s="24"/>
      <c r="G499" s="24"/>
      <c r="H499" s="24"/>
      <c r="K499" s="308" t="s">
        <v>151</v>
      </c>
      <c r="L499" s="40"/>
      <c r="M499" s="1"/>
    </row>
    <row r="500" spans="1:13" ht="15" x14ac:dyDescent="0.25">
      <c r="A500" s="277"/>
      <c r="B500" s="249">
        <v>11</v>
      </c>
      <c r="C500" s="24"/>
      <c r="D500" s="24"/>
      <c r="E500" s="24"/>
      <c r="F500" s="24"/>
      <c r="G500" s="24"/>
      <c r="H500" s="24"/>
      <c r="K500" s="308" t="s">
        <v>151</v>
      </c>
      <c r="L500" s="40"/>
      <c r="M500" s="1"/>
    </row>
    <row r="501" spans="1:13" ht="15" x14ac:dyDescent="0.25">
      <c r="A501" s="277"/>
      <c r="B501" s="249">
        <v>12</v>
      </c>
      <c r="C501" s="24"/>
      <c r="D501" s="24"/>
      <c r="E501" s="24"/>
      <c r="F501" s="24"/>
      <c r="G501" s="24"/>
      <c r="H501" s="24"/>
      <c r="K501" s="308" t="s">
        <v>151</v>
      </c>
      <c r="L501" s="40"/>
      <c r="M501" s="1"/>
    </row>
    <row r="502" spans="1:13" ht="15" x14ac:dyDescent="0.25">
      <c r="A502" s="277"/>
      <c r="B502" s="249">
        <v>13</v>
      </c>
      <c r="C502" s="24"/>
      <c r="D502" s="24"/>
      <c r="E502" s="24"/>
      <c r="F502" s="24"/>
      <c r="G502" s="24"/>
      <c r="H502" s="24"/>
      <c r="K502" s="308" t="s">
        <v>151</v>
      </c>
      <c r="L502" s="40"/>
      <c r="M502" s="1"/>
    </row>
    <row r="503" spans="1:13" ht="15" x14ac:dyDescent="0.25">
      <c r="A503" s="277"/>
      <c r="B503" s="249">
        <v>14</v>
      </c>
      <c r="C503" s="24"/>
      <c r="D503" s="24"/>
      <c r="E503" s="24"/>
      <c r="F503" s="24"/>
      <c r="G503" s="24"/>
      <c r="H503" s="24"/>
      <c r="K503" s="308" t="s">
        <v>151</v>
      </c>
      <c r="L503" s="40"/>
      <c r="M503" s="1"/>
    </row>
    <row r="504" spans="1:13" ht="15" x14ac:dyDescent="0.25">
      <c r="A504" s="277"/>
      <c r="B504" s="249">
        <v>15</v>
      </c>
      <c r="C504" s="24"/>
      <c r="D504" s="24"/>
      <c r="E504" s="24"/>
      <c r="F504" s="24"/>
      <c r="G504" s="24"/>
      <c r="H504" s="24"/>
      <c r="K504" s="308" t="s">
        <v>151</v>
      </c>
      <c r="L504" s="40"/>
      <c r="M504" s="1"/>
    </row>
    <row r="505" spans="1:13" ht="15" x14ac:dyDescent="0.25">
      <c r="A505" s="277"/>
      <c r="B505" s="249">
        <v>16</v>
      </c>
      <c r="C505" s="24"/>
      <c r="D505" s="24"/>
      <c r="E505" s="24"/>
      <c r="F505" s="24"/>
      <c r="G505" s="24"/>
      <c r="H505" s="24"/>
      <c r="K505" s="308" t="s">
        <v>151</v>
      </c>
      <c r="L505" s="40"/>
      <c r="M505" s="1"/>
    </row>
    <row r="506" spans="1:13" ht="15" x14ac:dyDescent="0.25">
      <c r="A506" s="277"/>
      <c r="B506" s="249">
        <v>17</v>
      </c>
      <c r="C506" s="24"/>
      <c r="D506" s="24"/>
      <c r="E506" s="24"/>
      <c r="F506" s="24"/>
      <c r="G506" s="24"/>
      <c r="H506" s="24"/>
      <c r="K506" s="308" t="s">
        <v>151</v>
      </c>
      <c r="L506" s="40"/>
      <c r="M506" s="1"/>
    </row>
    <row r="507" spans="1:13" ht="15" x14ac:dyDescent="0.25">
      <c r="A507" s="277"/>
      <c r="B507" s="249">
        <v>18</v>
      </c>
      <c r="C507" s="24"/>
      <c r="D507" s="24"/>
      <c r="E507" s="24"/>
      <c r="F507" s="24"/>
      <c r="G507" s="24"/>
      <c r="H507" s="24"/>
      <c r="K507" s="308" t="s">
        <v>151</v>
      </c>
      <c r="L507" s="40"/>
      <c r="M507" s="1"/>
    </row>
    <row r="508" spans="1:13" ht="15" x14ac:dyDescent="0.25">
      <c r="A508" s="277"/>
      <c r="B508" s="249">
        <v>19</v>
      </c>
      <c r="C508" s="24"/>
      <c r="D508" s="24"/>
      <c r="E508" s="24"/>
      <c r="F508" s="24"/>
      <c r="G508" s="24"/>
      <c r="H508" s="24"/>
      <c r="K508" s="308" t="s">
        <v>151</v>
      </c>
      <c r="L508" s="40"/>
      <c r="M508" s="1"/>
    </row>
    <row r="509" spans="1:13" ht="15" x14ac:dyDescent="0.25">
      <c r="A509" s="277"/>
      <c r="B509" s="249">
        <v>20</v>
      </c>
      <c r="C509" s="24"/>
      <c r="D509" s="24"/>
      <c r="E509" s="24"/>
      <c r="F509" s="24"/>
      <c r="G509" s="24"/>
      <c r="H509" s="24"/>
      <c r="K509" s="308" t="s">
        <v>151</v>
      </c>
      <c r="L509" s="40"/>
      <c r="M509" s="1"/>
    </row>
    <row r="510" spans="1:13" ht="15" x14ac:dyDescent="0.25">
      <c r="A510" s="277"/>
      <c r="B510" s="249">
        <v>21</v>
      </c>
      <c r="C510" s="24"/>
      <c r="D510" s="24"/>
      <c r="E510" s="24"/>
      <c r="F510" s="24"/>
      <c r="G510" s="24"/>
      <c r="H510" s="24"/>
      <c r="K510" s="308" t="s">
        <v>151</v>
      </c>
      <c r="L510" s="40"/>
      <c r="M510" s="1"/>
    </row>
    <row r="511" spans="1:13" ht="15" x14ac:dyDescent="0.25">
      <c r="A511" s="277"/>
      <c r="B511" s="249">
        <v>22</v>
      </c>
      <c r="C511" s="24"/>
      <c r="D511" s="24"/>
      <c r="E511" s="24"/>
      <c r="F511" s="24"/>
      <c r="G511" s="24"/>
      <c r="H511" s="24"/>
      <c r="K511" s="308" t="s">
        <v>151</v>
      </c>
      <c r="L511" s="40"/>
      <c r="M511" s="1"/>
    </row>
    <row r="512" spans="1:13" ht="15" x14ac:dyDescent="0.25">
      <c r="A512" s="277"/>
      <c r="B512" s="249">
        <v>23</v>
      </c>
      <c r="C512" s="24"/>
      <c r="D512" s="24"/>
      <c r="E512" s="24"/>
      <c r="F512" s="24"/>
      <c r="G512" s="24"/>
      <c r="H512" s="24"/>
      <c r="K512" s="308" t="s">
        <v>151</v>
      </c>
      <c r="L512" s="40"/>
      <c r="M512" s="1"/>
    </row>
    <row r="513" spans="1:13" ht="15" x14ac:dyDescent="0.25">
      <c r="A513" s="277"/>
      <c r="B513" s="249">
        <v>24</v>
      </c>
      <c r="C513" s="24"/>
      <c r="D513" s="24"/>
      <c r="E513" s="24"/>
      <c r="F513" s="24"/>
      <c r="G513" s="24"/>
      <c r="H513" s="24"/>
      <c r="K513" s="308" t="s">
        <v>151</v>
      </c>
      <c r="L513" s="40"/>
      <c r="M513" s="1"/>
    </row>
    <row r="514" spans="1:13" ht="15" x14ac:dyDescent="0.25">
      <c r="A514" s="277"/>
      <c r="B514" s="249">
        <v>25</v>
      </c>
      <c r="C514" s="24"/>
      <c r="D514" s="24"/>
      <c r="E514" s="24"/>
      <c r="F514" s="24"/>
      <c r="G514" s="24"/>
      <c r="H514" s="24"/>
      <c r="K514" s="308" t="s">
        <v>151</v>
      </c>
      <c r="L514" s="40"/>
      <c r="M514" s="1"/>
    </row>
    <row r="515" spans="1:13" ht="15" x14ac:dyDescent="0.25">
      <c r="A515" s="277"/>
      <c r="B515" s="249">
        <v>26</v>
      </c>
      <c r="C515" s="24"/>
      <c r="D515" s="24"/>
      <c r="E515" s="24"/>
      <c r="F515" s="24"/>
      <c r="G515" s="24"/>
      <c r="H515" s="24"/>
      <c r="K515" s="308" t="s">
        <v>151</v>
      </c>
      <c r="L515" s="40"/>
      <c r="M515" s="1"/>
    </row>
    <row r="516" spans="1:13" ht="15" x14ac:dyDescent="0.25">
      <c r="A516" s="277"/>
      <c r="B516" s="249">
        <v>27</v>
      </c>
      <c r="C516" s="24"/>
      <c r="D516" s="24"/>
      <c r="E516" s="24"/>
      <c r="F516" s="24"/>
      <c r="G516" s="24"/>
      <c r="H516" s="24"/>
      <c r="K516" s="308" t="s">
        <v>151</v>
      </c>
      <c r="L516" s="40"/>
      <c r="M516" s="1"/>
    </row>
    <row r="517" spans="1:13" ht="15" x14ac:dyDescent="0.25">
      <c r="A517" s="277"/>
      <c r="B517" s="249">
        <v>28</v>
      </c>
      <c r="C517" s="24"/>
      <c r="D517" s="24"/>
      <c r="E517" s="24"/>
      <c r="F517" s="24"/>
      <c r="G517" s="24"/>
      <c r="H517" s="24"/>
      <c r="K517" s="308" t="s">
        <v>151</v>
      </c>
      <c r="L517" s="40"/>
      <c r="M517" s="1"/>
    </row>
    <row r="518" spans="1:13" ht="15" x14ac:dyDescent="0.25">
      <c r="A518" s="277"/>
      <c r="B518" s="249">
        <v>29</v>
      </c>
      <c r="C518" s="24"/>
      <c r="D518" s="24"/>
      <c r="E518" s="24"/>
      <c r="F518" s="24"/>
      <c r="G518" s="24"/>
      <c r="H518" s="24"/>
      <c r="K518" s="308" t="s">
        <v>151</v>
      </c>
      <c r="L518" s="40"/>
      <c r="M518" s="1"/>
    </row>
    <row r="519" spans="1:13" ht="15" x14ac:dyDescent="0.25">
      <c r="A519" s="277"/>
      <c r="B519" s="249">
        <v>30</v>
      </c>
      <c r="C519" s="24"/>
      <c r="D519" s="24"/>
      <c r="E519" s="24"/>
      <c r="F519" s="24"/>
      <c r="G519" s="24"/>
      <c r="H519" s="24"/>
      <c r="K519" s="308" t="s">
        <v>151</v>
      </c>
      <c r="L519" s="40"/>
      <c r="M519" s="1"/>
    </row>
    <row r="520" spans="1:13" ht="15" x14ac:dyDescent="0.25">
      <c r="A520" s="277"/>
      <c r="B520" s="249">
        <v>31</v>
      </c>
      <c r="C520" s="24"/>
      <c r="D520" s="24"/>
      <c r="E520" s="24"/>
      <c r="F520" s="24"/>
      <c r="G520" s="24"/>
      <c r="H520" s="24"/>
      <c r="K520" s="308" t="s">
        <v>151</v>
      </c>
      <c r="L520" s="40"/>
      <c r="M520" s="1"/>
    </row>
    <row r="521" spans="1:13" ht="15" x14ac:dyDescent="0.25">
      <c r="A521" s="277"/>
      <c r="B521" s="249">
        <v>32</v>
      </c>
      <c r="C521" s="24"/>
      <c r="D521" s="24"/>
      <c r="E521" s="24"/>
      <c r="F521" s="24"/>
      <c r="G521" s="24"/>
      <c r="H521" s="24"/>
      <c r="K521" s="308" t="s">
        <v>151</v>
      </c>
      <c r="L521" s="40"/>
      <c r="M521" s="1"/>
    </row>
    <row r="522" spans="1:13" ht="15" x14ac:dyDescent="0.25">
      <c r="A522" s="277"/>
      <c r="B522" s="249">
        <v>33</v>
      </c>
      <c r="C522" s="24"/>
      <c r="D522" s="24"/>
      <c r="E522" s="24"/>
      <c r="F522" s="24"/>
      <c r="G522" s="24"/>
      <c r="H522" s="24"/>
      <c r="K522" s="308" t="s">
        <v>151</v>
      </c>
      <c r="L522" s="40"/>
      <c r="M522" s="1"/>
    </row>
    <row r="523" spans="1:13" ht="15" x14ac:dyDescent="0.25">
      <c r="A523" s="277"/>
      <c r="B523" s="249">
        <v>34</v>
      </c>
      <c r="C523" s="24"/>
      <c r="D523" s="24"/>
      <c r="E523" s="24"/>
      <c r="F523" s="24"/>
      <c r="G523" s="24"/>
      <c r="H523" s="24"/>
      <c r="K523" s="308" t="s">
        <v>151</v>
      </c>
      <c r="L523" s="40"/>
      <c r="M523" s="1"/>
    </row>
    <row r="524" spans="1:13" ht="15" x14ac:dyDescent="0.25">
      <c r="A524" s="277"/>
      <c r="B524" s="249">
        <v>35</v>
      </c>
      <c r="C524" s="24"/>
      <c r="D524" s="24"/>
      <c r="E524" s="24"/>
      <c r="F524" s="24"/>
      <c r="G524" s="24"/>
      <c r="H524" s="24"/>
      <c r="K524" s="308" t="s">
        <v>151</v>
      </c>
      <c r="L524" s="40"/>
      <c r="M524" s="1"/>
    </row>
    <row r="525" spans="1:13" ht="15" x14ac:dyDescent="0.25">
      <c r="A525" s="277"/>
      <c r="B525" s="249">
        <v>36</v>
      </c>
      <c r="C525" s="24"/>
      <c r="D525" s="24"/>
      <c r="E525" s="24"/>
      <c r="F525" s="24"/>
      <c r="G525" s="24"/>
      <c r="H525" s="24"/>
      <c r="K525" s="308" t="s">
        <v>151</v>
      </c>
      <c r="L525" s="40"/>
      <c r="M525" s="1"/>
    </row>
    <row r="526" spans="1:13" ht="15" x14ac:dyDescent="0.25">
      <c r="A526" s="277"/>
      <c r="B526" s="249">
        <v>37</v>
      </c>
      <c r="C526" s="24"/>
      <c r="D526" s="24"/>
      <c r="E526" s="24"/>
      <c r="F526" s="24"/>
      <c r="G526" s="24"/>
      <c r="H526" s="24"/>
      <c r="K526" s="308" t="s">
        <v>151</v>
      </c>
      <c r="L526" s="40"/>
      <c r="M526" s="1"/>
    </row>
    <row r="527" spans="1:13" ht="15" x14ac:dyDescent="0.25">
      <c r="A527" s="277"/>
      <c r="B527" s="249">
        <v>38</v>
      </c>
      <c r="C527" s="24"/>
      <c r="D527" s="24"/>
      <c r="E527" s="24"/>
      <c r="F527" s="24"/>
      <c r="G527" s="24"/>
      <c r="H527" s="24"/>
      <c r="K527" s="308" t="s">
        <v>151</v>
      </c>
      <c r="L527" s="40"/>
      <c r="M527" s="1"/>
    </row>
    <row r="528" spans="1:13" ht="15" x14ac:dyDescent="0.25">
      <c r="A528" s="277"/>
      <c r="B528" s="249">
        <v>39</v>
      </c>
      <c r="C528" s="24"/>
      <c r="D528" s="24"/>
      <c r="E528" s="24"/>
      <c r="F528" s="24"/>
      <c r="G528" s="24"/>
      <c r="H528" s="24"/>
      <c r="K528" s="308" t="s">
        <v>151</v>
      </c>
      <c r="L528" s="40"/>
      <c r="M528" s="1"/>
    </row>
    <row r="529" spans="1:21" ht="15" x14ac:dyDescent="0.25">
      <c r="A529" s="277"/>
      <c r="B529" s="249">
        <v>40</v>
      </c>
      <c r="C529" s="24"/>
      <c r="D529" s="24"/>
      <c r="E529" s="24"/>
      <c r="F529" s="24"/>
      <c r="G529" s="24"/>
      <c r="H529" s="24"/>
      <c r="K529" s="308" t="s">
        <v>151</v>
      </c>
      <c r="L529" s="40"/>
      <c r="M529" s="1"/>
    </row>
    <row r="530" spans="1:21" ht="15" x14ac:dyDescent="0.25">
      <c r="A530" s="277" t="s">
        <v>110</v>
      </c>
      <c r="B530" s="250" t="s">
        <v>284</v>
      </c>
      <c r="C530" s="24"/>
      <c r="D530" s="24"/>
      <c r="E530" s="24"/>
      <c r="F530" s="24"/>
      <c r="G530" s="24"/>
      <c r="H530" s="24"/>
      <c r="K530" s="308" t="s">
        <v>151</v>
      </c>
      <c r="L530" s="40"/>
      <c r="M530" s="1"/>
    </row>
    <row r="531" spans="1:21" ht="15" x14ac:dyDescent="0.25">
      <c r="A531" s="277" t="s">
        <v>138</v>
      </c>
      <c r="B531" s="250" t="s">
        <v>284</v>
      </c>
      <c r="C531" s="24"/>
      <c r="D531" s="24"/>
      <c r="E531" s="24"/>
      <c r="F531" s="24"/>
      <c r="G531" s="24"/>
      <c r="H531" s="24"/>
      <c r="K531" s="308" t="s">
        <v>85</v>
      </c>
      <c r="L531" s="40"/>
      <c r="M531" s="1"/>
    </row>
    <row r="532" spans="1:21" ht="15" x14ac:dyDescent="0.25">
      <c r="A532" s="277" t="s">
        <v>140</v>
      </c>
      <c r="B532" s="405" t="s">
        <v>285</v>
      </c>
      <c r="C532" s="406"/>
      <c r="D532" s="406"/>
      <c r="E532" s="406"/>
      <c r="F532" s="406"/>
      <c r="G532" s="406"/>
      <c r="H532" s="24"/>
      <c r="K532" s="308" t="s">
        <v>85</v>
      </c>
      <c r="L532" s="40"/>
      <c r="M532" s="1"/>
    </row>
    <row r="533" spans="1:21" ht="15" x14ac:dyDescent="0.25">
      <c r="A533" s="277" t="s">
        <v>142</v>
      </c>
      <c r="B533" s="236" t="s">
        <v>85</v>
      </c>
      <c r="C533" s="24"/>
      <c r="D533" s="24"/>
      <c r="E533" s="24"/>
      <c r="F533" s="24"/>
      <c r="G533" s="24"/>
      <c r="H533" s="24"/>
      <c r="K533" s="308" t="s">
        <v>85</v>
      </c>
      <c r="L533" s="40"/>
      <c r="M533" s="1"/>
    </row>
    <row r="534" spans="1:21" customFormat="1" ht="30" x14ac:dyDescent="0.25">
      <c r="A534" s="278" t="s">
        <v>144</v>
      </c>
      <c r="B534" s="236" t="str">
        <f>IF(B483=$N$5,"Yes","No")</f>
        <v>Yes</v>
      </c>
      <c r="C534" s="24"/>
      <c r="D534" s="24"/>
      <c r="E534" s="24"/>
      <c r="F534" s="24"/>
      <c r="G534" s="24"/>
      <c r="H534" s="231"/>
      <c r="I534" s="35"/>
      <c r="J534" s="2"/>
      <c r="K534" s="308" t="s">
        <v>85</v>
      </c>
      <c r="L534" s="40"/>
      <c r="M534" s="1"/>
      <c r="N534" s="2"/>
      <c r="O534" s="2"/>
      <c r="P534" s="2"/>
      <c r="Q534" s="2"/>
      <c r="R534" s="2"/>
      <c r="S534" s="2"/>
      <c r="T534" s="2"/>
      <c r="U534" s="2"/>
    </row>
    <row r="535" spans="1:21" ht="15" x14ac:dyDescent="0.25">
      <c r="A535" s="229" t="s">
        <v>121</v>
      </c>
      <c r="B535" s="403" t="s">
        <v>286</v>
      </c>
      <c r="C535" s="404"/>
      <c r="D535" s="404"/>
      <c r="E535" s="404"/>
      <c r="F535" s="404"/>
      <c r="G535" s="404"/>
      <c r="H535" s="24"/>
      <c r="J535" s="22"/>
      <c r="K535" s="308" t="s">
        <v>85</v>
      </c>
      <c r="L535" s="40"/>
      <c r="M535" s="1"/>
    </row>
    <row r="536" spans="1:21" ht="15" thickBot="1" x14ac:dyDescent="0.25">
      <c r="A536" s="24"/>
      <c r="B536" s="236"/>
      <c r="C536" s="24"/>
      <c r="D536" s="24"/>
      <c r="E536" s="24"/>
      <c r="F536" s="24"/>
      <c r="G536" s="24"/>
      <c r="H536" s="24"/>
      <c r="K536" s="308" t="s">
        <v>85</v>
      </c>
      <c r="L536" s="40"/>
      <c r="M536" s="1"/>
    </row>
    <row r="537" spans="1:21" ht="15.75" thickBot="1" x14ac:dyDescent="0.3">
      <c r="A537" s="275" t="s">
        <v>287</v>
      </c>
      <c r="B537" s="401" t="s">
        <v>288</v>
      </c>
      <c r="C537" s="402"/>
      <c r="D537" s="402"/>
      <c r="E537" s="402"/>
      <c r="F537" s="402"/>
      <c r="G537" s="402"/>
      <c r="H537" s="402"/>
      <c r="K537" s="308" t="s">
        <v>85</v>
      </c>
      <c r="L537" s="40"/>
      <c r="M537" s="1"/>
    </row>
    <row r="538" spans="1:21" ht="15" x14ac:dyDescent="0.25">
      <c r="A538" s="229" t="s">
        <v>87</v>
      </c>
      <c r="B538" s="236" t="s">
        <v>127</v>
      </c>
      <c r="C538" s="24"/>
      <c r="D538" s="24"/>
      <c r="E538" s="24"/>
      <c r="F538" s="24"/>
      <c r="G538" s="24"/>
      <c r="H538" s="24"/>
      <c r="K538" s="308" t="s">
        <v>85</v>
      </c>
      <c r="L538" s="40"/>
      <c r="M538" s="1"/>
    </row>
    <row r="539" spans="1:21" s="8" customFormat="1" ht="29.25" x14ac:dyDescent="0.25">
      <c r="A539" s="276"/>
      <c r="B539" s="237" t="str">
        <f>CONCATENATE($O$2&amp;": "&amp;VLOOKUP($B538,$N$4:$U$27,2,0))</f>
        <v>Font: Arial</v>
      </c>
      <c r="C539" s="19" t="str">
        <f>CONCATENATE($P$2&amp;": "&amp;VLOOKUP($B538,$N$4:$U$27,3,0))</f>
        <v>T-face: Normal</v>
      </c>
      <c r="D539" s="19" t="str">
        <f>CONCATENATE($Q$2&amp;": "&amp;VLOOKUP($B538,$N$4:$U$27,4,0))</f>
        <v>Font size: 11</v>
      </c>
      <c r="E539" s="19" t="str">
        <f>CONCATENATE($R$2&amp;": "&amp;VLOOKUP($B538,$N$4:$U$27,5,0))</f>
        <v>Row height: 53.25</v>
      </c>
      <c r="F539" s="19" t="str">
        <f>CONCATENATE($S$2&amp;": "&amp;VLOOKUP($B538,$N$4:$U$27,6,0))</f>
        <v>Text col: Black</v>
      </c>
      <c r="G539" s="19" t="str">
        <f>CONCATENATE($T$2&amp;": "&amp;VLOOKUP($B538,$N$4:$U$27,7,0))</f>
        <v>BG col: White</v>
      </c>
      <c r="H539" s="19" t="str">
        <f>CONCATENATE($U$2&amp;": "&amp;VLOOKUP($B538,$N$4:$U$27,8,0))</f>
        <v>Just: Left</v>
      </c>
      <c r="I539" s="37"/>
      <c r="J539" s="2"/>
      <c r="K539" s="308" t="s">
        <v>85</v>
      </c>
      <c r="L539" s="40"/>
      <c r="M539" s="1"/>
      <c r="N539" s="2"/>
      <c r="O539" s="2"/>
      <c r="P539" s="2"/>
      <c r="Q539" s="2"/>
      <c r="R539" s="2"/>
      <c r="S539" s="2"/>
      <c r="T539" s="2"/>
      <c r="U539" s="2"/>
    </row>
    <row r="540" spans="1:21" ht="15" x14ac:dyDescent="0.25">
      <c r="A540" s="229" t="s">
        <v>99</v>
      </c>
      <c r="B540" s="236" t="s">
        <v>240</v>
      </c>
      <c r="C540" s="24"/>
      <c r="D540" s="24"/>
      <c r="E540" s="24"/>
      <c r="F540" s="24"/>
      <c r="G540" s="24"/>
      <c r="H540" s="24"/>
      <c r="J540" s="8"/>
      <c r="K540" s="308" t="s">
        <v>85</v>
      </c>
      <c r="L540" s="40"/>
      <c r="M540" s="1"/>
    </row>
    <row r="541" spans="1:21" ht="45" customHeight="1" x14ac:dyDescent="0.25">
      <c r="A541" s="229" t="s">
        <v>102</v>
      </c>
      <c r="B541" s="415" t="s">
        <v>289</v>
      </c>
      <c r="C541" s="416"/>
      <c r="D541" s="416"/>
      <c r="E541" s="416"/>
      <c r="F541" s="416"/>
      <c r="G541" s="416"/>
      <c r="H541" s="24"/>
      <c r="K541" s="308" t="s">
        <v>151</v>
      </c>
      <c r="L541" s="40"/>
      <c r="M541" s="1"/>
    </row>
    <row r="542" spans="1:21" ht="15" x14ac:dyDescent="0.25">
      <c r="A542" s="277" t="s">
        <v>104</v>
      </c>
      <c r="B542" s="236" t="s">
        <v>242</v>
      </c>
      <c r="C542" s="24"/>
      <c r="D542" s="24"/>
      <c r="E542" s="24"/>
      <c r="F542" s="24"/>
      <c r="G542" s="24"/>
      <c r="H542" s="24"/>
      <c r="K542" s="308" t="s">
        <v>85</v>
      </c>
      <c r="L542" s="40"/>
      <c r="M542" s="1"/>
    </row>
    <row r="543" spans="1:21" ht="15" x14ac:dyDescent="0.25">
      <c r="A543" s="277" t="s">
        <v>87</v>
      </c>
      <c r="B543" s="403" t="s">
        <v>155</v>
      </c>
      <c r="C543" s="404"/>
      <c r="D543" s="404"/>
      <c r="E543" s="404"/>
      <c r="F543" s="404"/>
      <c r="G543" s="404"/>
      <c r="H543" s="24"/>
      <c r="K543" s="308" t="s">
        <v>85</v>
      </c>
      <c r="L543" s="40"/>
      <c r="M543" s="1"/>
      <c r="T543"/>
      <c r="U543"/>
    </row>
    <row r="544" spans="1:21" ht="15" x14ac:dyDescent="0.25">
      <c r="A544" s="277" t="s">
        <v>110</v>
      </c>
      <c r="B544" s="236" t="s">
        <v>85</v>
      </c>
      <c r="C544" s="24"/>
      <c r="D544" s="24"/>
      <c r="E544" s="24"/>
      <c r="F544" s="24"/>
      <c r="G544" s="24"/>
      <c r="H544" s="24"/>
      <c r="K544" s="308" t="s">
        <v>85</v>
      </c>
      <c r="L544" s="40"/>
      <c r="M544" s="1"/>
      <c r="N544" s="23"/>
      <c r="O544" s="23"/>
      <c r="P544" s="23"/>
      <c r="Q544" s="23"/>
      <c r="R544" s="23"/>
      <c r="S544" s="23"/>
    </row>
    <row r="545" spans="1:21" ht="15" x14ac:dyDescent="0.25">
      <c r="A545" s="277" t="s">
        <v>138</v>
      </c>
      <c r="B545" s="236" t="s">
        <v>85</v>
      </c>
      <c r="C545" s="24"/>
      <c r="D545" s="24"/>
      <c r="E545" s="24"/>
      <c r="F545" s="24"/>
      <c r="G545" s="24"/>
      <c r="H545" s="24"/>
      <c r="K545" s="308" t="s">
        <v>85</v>
      </c>
      <c r="L545" s="40"/>
      <c r="M545" s="1"/>
    </row>
    <row r="546" spans="1:21" ht="15" x14ac:dyDescent="0.25">
      <c r="A546" s="277" t="s">
        <v>140</v>
      </c>
      <c r="B546" s="236" t="s">
        <v>85</v>
      </c>
      <c r="C546" s="24"/>
      <c r="D546" s="24"/>
      <c r="E546" s="24"/>
      <c r="F546" s="24"/>
      <c r="G546" s="24"/>
      <c r="H546" s="24"/>
      <c r="K546" s="308" t="s">
        <v>85</v>
      </c>
      <c r="L546" s="40"/>
      <c r="M546" s="1"/>
    </row>
    <row r="547" spans="1:21" ht="15" x14ac:dyDescent="0.25">
      <c r="A547" s="277" t="s">
        <v>142</v>
      </c>
      <c r="B547" s="236" t="s">
        <v>85</v>
      </c>
      <c r="C547" s="24"/>
      <c r="D547" s="24"/>
      <c r="E547" s="24"/>
      <c r="F547" s="24"/>
      <c r="G547" s="24"/>
      <c r="H547" s="24"/>
      <c r="K547" s="308" t="s">
        <v>85</v>
      </c>
      <c r="L547" s="40"/>
      <c r="M547" s="1"/>
    </row>
    <row r="548" spans="1:21" ht="30" x14ac:dyDescent="0.25">
      <c r="A548" s="278" t="s">
        <v>144</v>
      </c>
      <c r="B548" s="236" t="str">
        <f>IF(B538=$N$5,"Yes","No")</f>
        <v>No</v>
      </c>
      <c r="C548" s="24"/>
      <c r="D548" s="24"/>
      <c r="E548" s="24"/>
      <c r="F548" s="24"/>
      <c r="G548" s="24"/>
      <c r="H548" s="231"/>
      <c r="K548" s="308" t="s">
        <v>85</v>
      </c>
      <c r="L548" s="40"/>
      <c r="M548" s="1"/>
      <c r="T548" s="8"/>
      <c r="U548" s="8"/>
    </row>
    <row r="549" spans="1:21" customFormat="1" ht="15" x14ac:dyDescent="0.25">
      <c r="A549" s="229" t="s">
        <v>121</v>
      </c>
      <c r="B549" s="403" t="s">
        <v>290</v>
      </c>
      <c r="C549" s="404"/>
      <c r="D549" s="404"/>
      <c r="E549" s="404"/>
      <c r="F549" s="404"/>
      <c r="G549" s="404"/>
      <c r="H549" s="24"/>
      <c r="I549" s="35"/>
      <c r="J549" s="2"/>
      <c r="K549" s="308" t="s">
        <v>85</v>
      </c>
      <c r="L549" s="40"/>
      <c r="M549" s="1"/>
      <c r="N549" s="8"/>
      <c r="O549" s="8"/>
      <c r="P549" s="8"/>
      <c r="Q549" s="8"/>
      <c r="R549" s="8"/>
      <c r="S549" s="8"/>
      <c r="T549" s="2"/>
      <c r="U549" s="2"/>
    </row>
    <row r="550" spans="1:21" customFormat="1" ht="15.75" thickBot="1" x14ac:dyDescent="0.3">
      <c r="A550" s="229"/>
      <c r="B550" s="239"/>
      <c r="C550" s="150"/>
      <c r="D550" s="150"/>
      <c r="E550" s="150"/>
      <c r="F550" s="150"/>
      <c r="G550" s="150"/>
      <c r="H550" s="24"/>
      <c r="I550" s="35"/>
      <c r="J550" s="2"/>
      <c r="K550" s="308" t="s">
        <v>85</v>
      </c>
      <c r="L550" s="40"/>
      <c r="M550" s="1"/>
      <c r="N550" s="2"/>
      <c r="O550" s="2"/>
      <c r="P550" s="2"/>
      <c r="Q550" s="2"/>
      <c r="R550" s="2"/>
      <c r="S550" s="2"/>
      <c r="T550" s="2"/>
      <c r="U550" s="2"/>
    </row>
    <row r="551" spans="1:21" ht="15.75" thickBot="1" x14ac:dyDescent="0.3">
      <c r="A551" s="275" t="s">
        <v>291</v>
      </c>
      <c r="B551" s="401" t="s">
        <v>292</v>
      </c>
      <c r="C551" s="402"/>
      <c r="D551" s="402"/>
      <c r="E551" s="402"/>
      <c r="F551" s="402"/>
      <c r="G551" s="402"/>
      <c r="H551" s="402"/>
      <c r="K551" s="308" t="s">
        <v>85</v>
      </c>
      <c r="L551" s="40"/>
      <c r="M551" s="1"/>
    </row>
    <row r="552" spans="1:21" ht="15" x14ac:dyDescent="0.25">
      <c r="A552" s="229" t="s">
        <v>87</v>
      </c>
      <c r="B552" s="236" t="s">
        <v>95</v>
      </c>
      <c r="C552" s="24"/>
      <c r="D552" s="24"/>
      <c r="E552" s="24"/>
      <c r="F552" s="24"/>
      <c r="G552" s="24"/>
      <c r="H552" s="24"/>
      <c r="K552" s="308" t="s">
        <v>85</v>
      </c>
      <c r="L552" s="40"/>
      <c r="M552" s="1"/>
    </row>
    <row r="553" spans="1:21" ht="29.25" x14ac:dyDescent="0.25">
      <c r="A553" s="229"/>
      <c r="B553" s="237" t="str">
        <f>CONCATENATE($O$2&amp;": "&amp;VLOOKUP($B552,$N$4:$U$27,2,0))</f>
        <v>Font: Arial</v>
      </c>
      <c r="C553" s="19" t="str">
        <f>CONCATENATE($P$2&amp;": "&amp;VLOOKUP($B552,$N$4:$U$27,3,0))</f>
        <v>T-face: Normal</v>
      </c>
      <c r="D553" s="19" t="str">
        <f>CONCATENATE($Q$2&amp;": "&amp;VLOOKUP($B552,$N$4:$U$27,4,0))</f>
        <v>Font size: 11</v>
      </c>
      <c r="E553" s="19" t="str">
        <f>CONCATENATE($R$2&amp;": "&amp;VLOOKUP($B552,$N$4:$U$27,5,0))</f>
        <v>Row height: Dependant</v>
      </c>
      <c r="F553" s="19" t="str">
        <f>CONCATENATE($S$2&amp;": "&amp;VLOOKUP($B552,$N$4:$U$27,6,0))</f>
        <v>Text col: Black</v>
      </c>
      <c r="G553" s="19" t="str">
        <f>CONCATENATE($T$2&amp;": "&amp;VLOOKUP($B552,$N$4:$U$27,7,0))</f>
        <v>BG col: Light grey</v>
      </c>
      <c r="H553" s="19" t="str">
        <f>CONCATENATE($U$2&amp;": "&amp;VLOOKUP($B552,$N$4:$U$27,8,0))</f>
        <v>Just: Right</v>
      </c>
      <c r="K553" s="308" t="s">
        <v>85</v>
      </c>
      <c r="L553" s="40"/>
      <c r="M553" s="1"/>
    </row>
    <row r="554" spans="1:21" ht="15" x14ac:dyDescent="0.25">
      <c r="A554" s="229" t="s">
        <v>99</v>
      </c>
      <c r="B554" s="236" t="s">
        <v>240</v>
      </c>
      <c r="C554" s="24"/>
      <c r="D554" s="24"/>
      <c r="E554" s="24"/>
      <c r="F554" s="24"/>
      <c r="G554" s="24"/>
      <c r="H554" s="24"/>
      <c r="K554" s="308" t="s">
        <v>85</v>
      </c>
      <c r="L554" s="40"/>
      <c r="M554" s="1"/>
    </row>
    <row r="555" spans="1:21" ht="15" x14ac:dyDescent="0.25">
      <c r="A555" s="229" t="s">
        <v>102</v>
      </c>
      <c r="B555" s="251" t="str">
        <f>'Borrowing expenses'!E30</f>
        <v>- Select -</v>
      </c>
      <c r="C555" s="150"/>
      <c r="D555" s="150"/>
      <c r="E555" s="150"/>
      <c r="F555" s="150"/>
      <c r="G555" s="150"/>
      <c r="H555" s="24"/>
      <c r="K555" s="308" t="s">
        <v>151</v>
      </c>
      <c r="L555" s="40"/>
      <c r="M555" s="1"/>
    </row>
    <row r="556" spans="1:21" ht="15" x14ac:dyDescent="0.25">
      <c r="A556" s="277" t="s">
        <v>104</v>
      </c>
      <c r="B556" s="236" t="s">
        <v>293</v>
      </c>
      <c r="C556" s="24"/>
      <c r="D556" s="24"/>
      <c r="E556" s="24"/>
      <c r="F556" s="24"/>
      <c r="G556" s="24"/>
      <c r="H556" s="24"/>
      <c r="K556" s="308" t="s">
        <v>85</v>
      </c>
      <c r="L556" s="40"/>
      <c r="M556" s="1"/>
    </row>
    <row r="557" spans="1:21" ht="15" x14ac:dyDescent="0.25">
      <c r="A557" s="277" t="s">
        <v>87</v>
      </c>
      <c r="B557" s="403" t="s">
        <v>294</v>
      </c>
      <c r="C557" s="404"/>
      <c r="D557" s="404"/>
      <c r="E557" s="404"/>
      <c r="F557" s="404"/>
      <c r="G557" s="404"/>
      <c r="H557" s="24"/>
      <c r="K557" s="308" t="s">
        <v>85</v>
      </c>
      <c r="L557" s="40"/>
      <c r="M557" s="1"/>
      <c r="T557"/>
      <c r="U557"/>
    </row>
    <row r="558" spans="1:21" ht="15" x14ac:dyDescent="0.25">
      <c r="A558" s="277" t="s">
        <v>283</v>
      </c>
      <c r="B558" s="252" t="s">
        <v>11</v>
      </c>
      <c r="C558" s="150"/>
      <c r="D558" s="150"/>
      <c r="E558" s="150"/>
      <c r="F558" s="150"/>
      <c r="G558" s="150"/>
      <c r="H558" s="24"/>
      <c r="K558" s="308" t="s">
        <v>151</v>
      </c>
      <c r="L558" s="40"/>
      <c r="M558" s="1"/>
      <c r="N558" s="23"/>
      <c r="O558" s="23"/>
      <c r="P558" s="23"/>
      <c r="Q558" s="23"/>
      <c r="R558" s="23"/>
      <c r="S558" s="23"/>
    </row>
    <row r="559" spans="1:21" ht="15" x14ac:dyDescent="0.25">
      <c r="A559" s="277"/>
      <c r="B559" s="238" t="s">
        <v>295</v>
      </c>
      <c r="C559" s="150"/>
      <c r="D559" s="150"/>
      <c r="E559" s="150"/>
      <c r="F559" s="150"/>
      <c r="G559" s="150"/>
      <c r="H559" s="24"/>
      <c r="K559" s="308" t="s">
        <v>151</v>
      </c>
      <c r="L559" s="40"/>
      <c r="M559" s="1"/>
    </row>
    <row r="560" spans="1:21" ht="15" x14ac:dyDescent="0.25">
      <c r="A560" s="277"/>
      <c r="B560" s="238" t="s">
        <v>296</v>
      </c>
      <c r="C560" s="150"/>
      <c r="D560" s="150"/>
      <c r="E560" s="150"/>
      <c r="F560" s="150"/>
      <c r="G560" s="150"/>
      <c r="H560" s="24"/>
      <c r="K560" s="308" t="s">
        <v>151</v>
      </c>
      <c r="L560" s="40"/>
      <c r="M560" s="1"/>
    </row>
    <row r="561" spans="1:21" ht="15" x14ac:dyDescent="0.25">
      <c r="A561" s="277" t="s">
        <v>110</v>
      </c>
      <c r="B561" s="236" t="s">
        <v>293</v>
      </c>
      <c r="C561" s="24"/>
      <c r="D561" s="24"/>
      <c r="E561" s="24"/>
      <c r="F561" s="24"/>
      <c r="G561" s="24"/>
      <c r="H561" s="24"/>
      <c r="K561" s="308" t="s">
        <v>85</v>
      </c>
      <c r="L561" s="40"/>
      <c r="M561" s="1"/>
    </row>
    <row r="562" spans="1:21" customFormat="1" ht="15" x14ac:dyDescent="0.25">
      <c r="A562" s="277" t="s">
        <v>138</v>
      </c>
      <c r="B562" s="236" t="s">
        <v>293</v>
      </c>
      <c r="C562" s="24"/>
      <c r="D562" s="24"/>
      <c r="E562" s="24"/>
      <c r="F562" s="24"/>
      <c r="G562" s="24"/>
      <c r="H562" s="24"/>
      <c r="I562" s="35"/>
      <c r="J562" s="2"/>
      <c r="K562" s="308" t="s">
        <v>85</v>
      </c>
      <c r="L562" s="40"/>
      <c r="M562" s="1"/>
      <c r="N562" s="2"/>
      <c r="O562" s="2"/>
      <c r="P562" s="2"/>
      <c r="Q562" s="2"/>
      <c r="R562" s="2"/>
      <c r="S562" s="2"/>
      <c r="T562" s="2"/>
      <c r="U562" s="2"/>
    </row>
    <row r="563" spans="1:21" customFormat="1" ht="15" x14ac:dyDescent="0.25">
      <c r="A563" s="277" t="s">
        <v>140</v>
      </c>
      <c r="B563" s="236" t="s">
        <v>293</v>
      </c>
      <c r="C563" s="24"/>
      <c r="D563" s="24"/>
      <c r="E563" s="24"/>
      <c r="F563" s="24"/>
      <c r="G563" s="24"/>
      <c r="H563" s="24"/>
      <c r="I563" s="35"/>
      <c r="J563" s="2"/>
      <c r="K563" s="308" t="s">
        <v>85</v>
      </c>
      <c r="L563" s="40"/>
      <c r="M563" s="1"/>
      <c r="N563" s="2"/>
      <c r="O563" s="2"/>
      <c r="P563" s="2"/>
      <c r="Q563" s="2"/>
      <c r="R563" s="2"/>
      <c r="S563" s="2"/>
      <c r="T563" s="2"/>
      <c r="U563" s="2"/>
    </row>
    <row r="564" spans="1:21" ht="15" x14ac:dyDescent="0.25">
      <c r="A564" s="277" t="s">
        <v>142</v>
      </c>
      <c r="B564" s="236" t="s">
        <v>293</v>
      </c>
      <c r="C564" s="24"/>
      <c r="D564" s="24"/>
      <c r="E564" s="24"/>
      <c r="F564" s="24"/>
      <c r="G564" s="24"/>
      <c r="H564" s="24"/>
      <c r="J564" s="22"/>
      <c r="K564" s="308" t="s">
        <v>85</v>
      </c>
      <c r="L564" s="40"/>
      <c r="M564" s="1"/>
    </row>
    <row r="565" spans="1:21" ht="30" x14ac:dyDescent="0.25">
      <c r="A565" s="278" t="s">
        <v>144</v>
      </c>
      <c r="B565" s="236" t="str">
        <f>IF(B552=$N$5,"Yes","No")</f>
        <v>Yes</v>
      </c>
      <c r="C565" s="24"/>
      <c r="D565" s="24"/>
      <c r="E565" s="24"/>
      <c r="F565" s="24"/>
      <c r="G565" s="24"/>
      <c r="H565" s="231"/>
      <c r="J565" s="22"/>
      <c r="K565" s="308" t="s">
        <v>85</v>
      </c>
      <c r="L565" s="40"/>
      <c r="M565" s="1"/>
    </row>
    <row r="566" spans="1:21" ht="15" x14ac:dyDescent="0.25">
      <c r="A566" s="229" t="s">
        <v>121</v>
      </c>
      <c r="B566" s="403" t="s">
        <v>297</v>
      </c>
      <c r="C566" s="404"/>
      <c r="D566" s="404"/>
      <c r="E566" s="404"/>
      <c r="F566" s="404"/>
      <c r="G566" s="404"/>
      <c r="H566" s="24"/>
      <c r="J566" s="22"/>
      <c r="K566" s="308" t="s">
        <v>85</v>
      </c>
      <c r="L566" s="40"/>
      <c r="M566" s="1"/>
    </row>
    <row r="567" spans="1:21" ht="15" thickBot="1" x14ac:dyDescent="0.25">
      <c r="A567" s="24"/>
      <c r="B567" s="236"/>
      <c r="C567" s="24"/>
      <c r="D567" s="24"/>
      <c r="E567" s="24"/>
      <c r="F567" s="24"/>
      <c r="G567" s="24"/>
      <c r="H567" s="24"/>
      <c r="K567" s="308" t="s">
        <v>85</v>
      </c>
      <c r="L567" s="40"/>
      <c r="M567" s="1"/>
    </row>
    <row r="568" spans="1:21" ht="15.75" thickBot="1" x14ac:dyDescent="0.3">
      <c r="A568" s="275" t="s">
        <v>298</v>
      </c>
      <c r="B568" s="401" t="s">
        <v>299</v>
      </c>
      <c r="C568" s="402"/>
      <c r="D568" s="402"/>
      <c r="E568" s="402"/>
      <c r="F568" s="402"/>
      <c r="G568" s="402"/>
      <c r="H568" s="402"/>
      <c r="K568" s="308" t="s">
        <v>85</v>
      </c>
      <c r="L568" s="40"/>
      <c r="M568" s="1"/>
    </row>
    <row r="569" spans="1:21" ht="15" x14ac:dyDescent="0.25">
      <c r="A569" s="229" t="s">
        <v>87</v>
      </c>
      <c r="B569" s="236" t="s">
        <v>126</v>
      </c>
      <c r="C569" s="24"/>
      <c r="D569" s="24"/>
      <c r="E569" s="24"/>
      <c r="F569" s="24"/>
      <c r="G569" s="24"/>
      <c r="H569" s="24"/>
      <c r="K569" s="308" t="s">
        <v>85</v>
      </c>
      <c r="L569" s="40"/>
      <c r="M569" s="1"/>
    </row>
    <row r="570" spans="1:21" s="8" customFormat="1" ht="29.25" x14ac:dyDescent="0.25">
      <c r="A570" s="276"/>
      <c r="B570" s="237" t="str">
        <f>CONCATENATE($O$2&amp;": "&amp;VLOOKUP($B569,$N$4:$U$27,2,0))</f>
        <v>Font: Arial</v>
      </c>
      <c r="C570" s="19" t="str">
        <f>CONCATENATE($P$2&amp;": "&amp;VLOOKUP($B569,$N$4:$U$27,3,0))</f>
        <v>T-face: Normal</v>
      </c>
      <c r="D570" s="19" t="str">
        <f>CONCATENATE($Q$2&amp;": "&amp;VLOOKUP($B569,$N$4:$U$27,4,0))</f>
        <v>Font size: 11</v>
      </c>
      <c r="E570" s="19" t="str">
        <f>CONCATENATE($R$2&amp;": "&amp;VLOOKUP($B569,$N$4:$U$27,5,0))</f>
        <v>Row height: 40.5</v>
      </c>
      <c r="F570" s="19" t="str">
        <f>CONCATENATE($S$2&amp;": "&amp;VLOOKUP($B569,$N$4:$U$27,6,0))</f>
        <v>Text col: Black</v>
      </c>
      <c r="G570" s="19" t="str">
        <f>CONCATENATE($T$2&amp;": "&amp;VLOOKUP($B569,$N$4:$U$27,7,0))</f>
        <v>BG col: White</v>
      </c>
      <c r="H570" s="19" t="str">
        <f>CONCATENATE($U$2&amp;": "&amp;VLOOKUP($B569,$N$4:$U$27,8,0))</f>
        <v>Just: Left</v>
      </c>
      <c r="I570" s="37"/>
      <c r="J570" s="2"/>
      <c r="K570" s="308" t="s">
        <v>85</v>
      </c>
      <c r="L570" s="40"/>
      <c r="M570" s="1"/>
      <c r="N570" s="2"/>
      <c r="O570" s="2"/>
      <c r="P570" s="2"/>
      <c r="Q570" s="2"/>
      <c r="R570" s="2"/>
      <c r="S570" s="2"/>
      <c r="T570" s="2"/>
      <c r="U570" s="2"/>
    </row>
    <row r="571" spans="1:21" ht="15" x14ac:dyDescent="0.25">
      <c r="A571" s="229" t="s">
        <v>99</v>
      </c>
      <c r="B571" s="236" t="s">
        <v>240</v>
      </c>
      <c r="C571" s="24"/>
      <c r="D571" s="24"/>
      <c r="E571" s="24"/>
      <c r="F571" s="24"/>
      <c r="G571" s="24"/>
      <c r="H571" s="24"/>
      <c r="J571" s="8"/>
      <c r="K571" s="308" t="s">
        <v>85</v>
      </c>
      <c r="L571" s="40"/>
      <c r="M571" s="1"/>
    </row>
    <row r="572" spans="1:21" ht="15" x14ac:dyDescent="0.25">
      <c r="A572" s="229" t="s">
        <v>102</v>
      </c>
      <c r="B572" s="415" t="str">
        <f>IF(E29='Reference module'!B560,"Amount of loan used for another purpose (not used to purchase the rental property).","Amount of loan used for another purpose (not used to purchase the rental property). *")</f>
        <v>Amount of loan used for another purpose (not used to purchase the rental property). *</v>
      </c>
      <c r="C572" s="416"/>
      <c r="D572" s="416"/>
      <c r="E572" s="416"/>
      <c r="F572" s="416"/>
      <c r="G572" s="416"/>
      <c r="H572" s="24"/>
      <c r="K572" s="308" t="s">
        <v>151</v>
      </c>
      <c r="L572" s="40"/>
      <c r="M572" s="1"/>
    </row>
    <row r="573" spans="1:21" ht="15" x14ac:dyDescent="0.25">
      <c r="A573" s="277" t="s">
        <v>104</v>
      </c>
      <c r="B573" s="236" t="s">
        <v>242</v>
      </c>
      <c r="C573" s="24"/>
      <c r="D573" s="24"/>
      <c r="E573" s="24"/>
      <c r="F573" s="24"/>
      <c r="G573" s="24"/>
      <c r="H573" s="24"/>
      <c r="K573" s="308" t="s">
        <v>85</v>
      </c>
      <c r="L573" s="40"/>
      <c r="M573" s="1"/>
    </row>
    <row r="574" spans="1:21" ht="15" x14ac:dyDescent="0.25">
      <c r="A574" s="277" t="s">
        <v>87</v>
      </c>
      <c r="B574" s="403" t="s">
        <v>155</v>
      </c>
      <c r="C574" s="404"/>
      <c r="D574" s="404"/>
      <c r="E574" s="404"/>
      <c r="F574" s="404"/>
      <c r="G574" s="404"/>
      <c r="H574" s="24"/>
      <c r="K574" s="308" t="s">
        <v>85</v>
      </c>
      <c r="L574" s="40"/>
      <c r="M574" s="1"/>
      <c r="T574"/>
      <c r="U574"/>
    </row>
    <row r="575" spans="1:21" ht="15" x14ac:dyDescent="0.25">
      <c r="A575" s="277" t="s">
        <v>110</v>
      </c>
      <c r="B575" s="236" t="s">
        <v>85</v>
      </c>
      <c r="C575" s="24"/>
      <c r="D575" s="24"/>
      <c r="E575" s="24"/>
      <c r="F575" s="24"/>
      <c r="G575" s="24"/>
      <c r="H575" s="24"/>
      <c r="K575" s="308" t="s">
        <v>85</v>
      </c>
      <c r="L575" s="40"/>
      <c r="M575" s="1"/>
      <c r="N575" s="23"/>
      <c r="O575" s="23"/>
      <c r="P575" s="23"/>
      <c r="Q575" s="23"/>
      <c r="R575" s="23"/>
      <c r="S575" s="23"/>
    </row>
    <row r="576" spans="1:21" ht="15" x14ac:dyDescent="0.25">
      <c r="A576" s="277" t="s">
        <v>138</v>
      </c>
      <c r="B576" s="236" t="s">
        <v>85</v>
      </c>
      <c r="C576" s="24"/>
      <c r="D576" s="24"/>
      <c r="E576" s="24"/>
      <c r="F576" s="24"/>
      <c r="G576" s="24"/>
      <c r="H576" s="24"/>
      <c r="K576" s="308" t="s">
        <v>85</v>
      </c>
      <c r="L576" s="40"/>
      <c r="M576" s="1"/>
    </row>
    <row r="577" spans="1:21" ht="15" x14ac:dyDescent="0.25">
      <c r="A577" s="277" t="s">
        <v>140</v>
      </c>
      <c r="B577" s="236" t="s">
        <v>85</v>
      </c>
      <c r="C577" s="24"/>
      <c r="D577" s="24"/>
      <c r="E577" s="24"/>
      <c r="F577" s="24"/>
      <c r="G577" s="24"/>
      <c r="H577" s="24"/>
      <c r="K577" s="308" t="s">
        <v>85</v>
      </c>
      <c r="L577" s="40"/>
      <c r="M577" s="1"/>
    </row>
    <row r="578" spans="1:21" ht="15" x14ac:dyDescent="0.25">
      <c r="A578" s="277" t="s">
        <v>142</v>
      </c>
      <c r="B578" s="236" t="s">
        <v>85</v>
      </c>
      <c r="C578" s="24"/>
      <c r="D578" s="24"/>
      <c r="E578" s="24"/>
      <c r="F578" s="24"/>
      <c r="G578" s="24"/>
      <c r="H578" s="24"/>
      <c r="K578" s="308" t="s">
        <v>85</v>
      </c>
      <c r="L578" s="40"/>
      <c r="M578" s="1"/>
    </row>
    <row r="579" spans="1:21" ht="30" x14ac:dyDescent="0.25">
      <c r="A579" s="278" t="s">
        <v>144</v>
      </c>
      <c r="B579" s="236" t="str">
        <f>IF(B569=$N$5,"Yes","No")</f>
        <v>No</v>
      </c>
      <c r="C579" s="24"/>
      <c r="D579" s="24"/>
      <c r="E579" s="24"/>
      <c r="F579" s="24"/>
      <c r="G579" s="24"/>
      <c r="H579" s="231"/>
      <c r="K579" s="308" t="s">
        <v>85</v>
      </c>
      <c r="L579" s="40"/>
      <c r="M579" s="1"/>
      <c r="T579" s="8"/>
      <c r="U579" s="8"/>
    </row>
    <row r="580" spans="1:21" customFormat="1" ht="15" x14ac:dyDescent="0.25">
      <c r="A580" s="229" t="s">
        <v>121</v>
      </c>
      <c r="B580" s="403" t="s">
        <v>300</v>
      </c>
      <c r="C580" s="404"/>
      <c r="D580" s="404"/>
      <c r="E580" s="404"/>
      <c r="F580" s="404"/>
      <c r="G580" s="404"/>
      <c r="H580" s="24"/>
      <c r="I580" s="35"/>
      <c r="J580" s="2"/>
      <c r="K580" s="308" t="s">
        <v>85</v>
      </c>
      <c r="L580" s="40"/>
      <c r="M580" s="1"/>
      <c r="N580" s="8"/>
      <c r="O580" s="8"/>
      <c r="P580" s="8"/>
      <c r="Q580" s="8"/>
      <c r="R580" s="8"/>
      <c r="S580" s="8"/>
      <c r="T580" s="2"/>
      <c r="U580" s="2"/>
    </row>
    <row r="581" spans="1:21" ht="15" thickBot="1" x14ac:dyDescent="0.25">
      <c r="A581" s="24"/>
      <c r="B581" s="236"/>
      <c r="C581" s="24"/>
      <c r="D581" s="24"/>
      <c r="E581" s="24"/>
      <c r="F581" s="24"/>
      <c r="G581" s="24"/>
      <c r="H581" s="24"/>
      <c r="K581" s="308" t="s">
        <v>85</v>
      </c>
      <c r="L581" s="40"/>
      <c r="M581" s="1"/>
    </row>
    <row r="582" spans="1:21" ht="15.75" thickBot="1" x14ac:dyDescent="0.3">
      <c r="A582" s="275" t="s">
        <v>301</v>
      </c>
      <c r="B582" s="401" t="s">
        <v>302</v>
      </c>
      <c r="C582" s="402"/>
      <c r="D582" s="402"/>
      <c r="E582" s="402"/>
      <c r="F582" s="402"/>
      <c r="G582" s="402"/>
      <c r="H582" s="402"/>
      <c r="K582" s="308" t="s">
        <v>85</v>
      </c>
      <c r="L582" s="40"/>
      <c r="M582" s="1"/>
    </row>
    <row r="583" spans="1:21" ht="15" x14ac:dyDescent="0.25">
      <c r="A583" s="229" t="s">
        <v>87</v>
      </c>
      <c r="B583" s="236" t="s">
        <v>95</v>
      </c>
      <c r="C583" s="24"/>
      <c r="D583" s="24"/>
      <c r="E583" s="24"/>
      <c r="F583" s="24"/>
      <c r="G583" s="24"/>
      <c r="H583" s="24"/>
      <c r="K583" s="308" t="s">
        <v>85</v>
      </c>
      <c r="L583" s="40"/>
      <c r="M583" s="1"/>
    </row>
    <row r="584" spans="1:21" ht="29.25" x14ac:dyDescent="0.25">
      <c r="A584" s="276"/>
      <c r="B584" s="237" t="str">
        <f>CONCATENATE($O$2&amp;": "&amp;VLOOKUP($B583,$N$4:$U$27,2,0))</f>
        <v>Font: Arial</v>
      </c>
      <c r="C584" s="19" t="str">
        <f>CONCATENATE($P$2&amp;": "&amp;VLOOKUP($B583,$N$4:$U$27,3,0))</f>
        <v>T-face: Normal</v>
      </c>
      <c r="D584" s="19" t="str">
        <f>CONCATENATE($Q$2&amp;": "&amp;VLOOKUP($B583,$N$4:$U$27,4,0))</f>
        <v>Font size: 11</v>
      </c>
      <c r="E584" s="19" t="str">
        <f>CONCATENATE($R$2&amp;": "&amp;VLOOKUP($B583,$N$4:$U$27,5,0))</f>
        <v>Row height: Dependant</v>
      </c>
      <c r="F584" s="19" t="str">
        <f>CONCATENATE($S$2&amp;": "&amp;VLOOKUP($B583,$N$4:$U$27,6,0))</f>
        <v>Text col: Black</v>
      </c>
      <c r="G584" s="19" t="str">
        <f>CONCATENATE($T$2&amp;": "&amp;VLOOKUP($B583,$N$4:$U$27,7,0))</f>
        <v>BG col: Light grey</v>
      </c>
      <c r="H584" s="19" t="str">
        <f>CONCATENATE($U$2&amp;": "&amp;VLOOKUP($B583,$N$4:$U$27,8,0))</f>
        <v>Just: Right</v>
      </c>
      <c r="K584" s="308" t="s">
        <v>85</v>
      </c>
      <c r="L584" s="40"/>
      <c r="M584" s="1"/>
    </row>
    <row r="585" spans="1:21" ht="15" x14ac:dyDescent="0.25">
      <c r="A585" s="229" t="s">
        <v>99</v>
      </c>
      <c r="B585" s="236" t="s">
        <v>246</v>
      </c>
      <c r="C585" s="24"/>
      <c r="D585" s="24"/>
      <c r="E585" s="24"/>
      <c r="F585" s="24"/>
      <c r="G585" s="24"/>
      <c r="H585" s="24"/>
      <c r="K585" s="308" t="s">
        <v>85</v>
      </c>
      <c r="L585" s="40"/>
      <c r="M585" s="1"/>
    </row>
    <row r="586" spans="1:21" ht="15" x14ac:dyDescent="0.25">
      <c r="A586" s="229" t="s">
        <v>102</v>
      </c>
      <c r="B586" s="247">
        <f>'Borrowing expenses'!E31</f>
        <v>0</v>
      </c>
      <c r="C586" s="24"/>
      <c r="D586" s="24"/>
      <c r="E586" s="24"/>
      <c r="F586" s="24"/>
      <c r="G586" s="24"/>
      <c r="H586" s="24"/>
      <c r="K586" s="308" t="s">
        <v>151</v>
      </c>
      <c r="L586" s="40"/>
      <c r="M586" s="1"/>
    </row>
    <row r="587" spans="1:21" ht="15" x14ac:dyDescent="0.25">
      <c r="A587" s="277" t="s">
        <v>247</v>
      </c>
      <c r="B587" s="242" t="s">
        <v>264</v>
      </c>
      <c r="C587" s="24"/>
      <c r="D587" s="24"/>
      <c r="E587" s="24"/>
      <c r="F587" s="24"/>
      <c r="G587" s="24"/>
      <c r="H587" s="24"/>
      <c r="K587" s="308" t="s">
        <v>85</v>
      </c>
      <c r="L587" s="40"/>
      <c r="M587" s="1"/>
    </row>
    <row r="588" spans="1:21" ht="15" x14ac:dyDescent="0.25">
      <c r="A588" s="277" t="s">
        <v>87</v>
      </c>
      <c r="B588" s="403" t="s">
        <v>265</v>
      </c>
      <c r="C588" s="404"/>
      <c r="D588" s="404"/>
      <c r="E588" s="404"/>
      <c r="F588" s="404"/>
      <c r="G588" s="404"/>
      <c r="H588" s="24"/>
      <c r="K588" s="308" t="s">
        <v>85</v>
      </c>
      <c r="L588" s="40"/>
      <c r="M588" s="1"/>
      <c r="T588"/>
      <c r="U588"/>
    </row>
    <row r="589" spans="1:21" ht="15" x14ac:dyDescent="0.25">
      <c r="A589" s="277" t="s">
        <v>110</v>
      </c>
      <c r="B589" s="236">
        <v>0</v>
      </c>
      <c r="C589" s="24"/>
      <c r="D589" s="24"/>
      <c r="E589" s="24"/>
      <c r="F589" s="24"/>
      <c r="G589" s="24"/>
      <c r="H589" s="24"/>
      <c r="K589" s="308" t="s">
        <v>151</v>
      </c>
      <c r="L589" s="40"/>
      <c r="M589" s="1"/>
      <c r="N589" s="23"/>
      <c r="O589" s="23"/>
      <c r="P589" s="23"/>
      <c r="Q589" s="23"/>
      <c r="R589" s="23"/>
      <c r="S589" s="23"/>
    </row>
    <row r="590" spans="1:21" ht="15" x14ac:dyDescent="0.25">
      <c r="A590" s="277" t="s">
        <v>138</v>
      </c>
      <c r="B590" s="250">
        <f>IF(AND(B430=0,B586=0),0,IF(B430&lt;&gt;"",B430-0.01,99999999.99))</f>
        <v>0</v>
      </c>
      <c r="C590" s="24"/>
      <c r="D590" s="24"/>
      <c r="E590" s="24"/>
      <c r="F590" s="24"/>
      <c r="G590" s="24"/>
      <c r="H590" s="24"/>
      <c r="K590" s="308" t="s">
        <v>151</v>
      </c>
      <c r="L590" s="40"/>
      <c r="M590" s="1"/>
    </row>
    <row r="591" spans="1:21" ht="15" x14ac:dyDescent="0.25">
      <c r="A591" s="277" t="s">
        <v>140</v>
      </c>
      <c r="B591" s="405" t="s">
        <v>249</v>
      </c>
      <c r="C591" s="406"/>
      <c r="D591" s="406"/>
      <c r="E591" s="406"/>
      <c r="F591" s="406"/>
      <c r="G591" s="406"/>
      <c r="H591" s="24"/>
      <c r="K591" s="308" t="s">
        <v>85</v>
      </c>
      <c r="L591" s="40"/>
      <c r="M591" s="1"/>
    </row>
    <row r="592" spans="1:21" ht="15" x14ac:dyDescent="0.25">
      <c r="A592" s="277" t="s">
        <v>142</v>
      </c>
      <c r="B592" s="236" t="s">
        <v>85</v>
      </c>
      <c r="C592" s="24"/>
      <c r="D592" s="24"/>
      <c r="E592" s="24"/>
      <c r="F592" s="24"/>
      <c r="G592" s="24"/>
      <c r="H592" s="24"/>
      <c r="K592" s="308" t="s">
        <v>85</v>
      </c>
      <c r="L592" s="40"/>
      <c r="M592" s="1"/>
    </row>
    <row r="593" spans="1:21" customFormat="1" ht="30" x14ac:dyDescent="0.25">
      <c r="A593" s="278" t="s">
        <v>144</v>
      </c>
      <c r="B593" s="236" t="str">
        <f>IF(B583=$N$5,"Yes","No")</f>
        <v>Yes</v>
      </c>
      <c r="C593" s="24"/>
      <c r="D593" s="24"/>
      <c r="E593" s="24"/>
      <c r="F593" s="24"/>
      <c r="G593" s="24"/>
      <c r="H593" s="231"/>
      <c r="I593" s="35"/>
      <c r="J593" s="2"/>
      <c r="K593" s="308" t="s">
        <v>85</v>
      </c>
      <c r="L593" s="40"/>
      <c r="M593" s="1"/>
      <c r="N593" s="2"/>
      <c r="O593" s="2"/>
      <c r="P593" s="2"/>
      <c r="Q593" s="2"/>
      <c r="R593" s="2"/>
      <c r="S593" s="2"/>
      <c r="T593" s="2"/>
      <c r="U593" s="2"/>
    </row>
    <row r="594" spans="1:21" ht="15" x14ac:dyDescent="0.25">
      <c r="A594" s="229" t="s">
        <v>121</v>
      </c>
      <c r="B594" s="403" t="s">
        <v>303</v>
      </c>
      <c r="C594" s="404"/>
      <c r="D594" s="404"/>
      <c r="E594" s="404"/>
      <c r="F594" s="404"/>
      <c r="G594" s="404"/>
      <c r="H594" s="24"/>
      <c r="J594" s="22"/>
      <c r="K594" s="308" t="s">
        <v>85</v>
      </c>
      <c r="L594" s="40"/>
      <c r="M594" s="1"/>
    </row>
    <row r="595" spans="1:21" ht="15" thickBot="1" x14ac:dyDescent="0.25">
      <c r="A595" s="24"/>
      <c r="B595" s="236"/>
      <c r="C595" s="24"/>
      <c r="D595" s="24"/>
      <c r="E595" s="24"/>
      <c r="F595" s="24"/>
      <c r="G595" s="24"/>
      <c r="H595" s="24"/>
      <c r="K595" s="308" t="s">
        <v>85</v>
      </c>
      <c r="L595" s="40"/>
      <c r="M595" s="1"/>
    </row>
    <row r="596" spans="1:21" ht="15.75" thickBot="1" x14ac:dyDescent="0.3">
      <c r="A596" s="275" t="s">
        <v>304</v>
      </c>
      <c r="B596" s="401" t="s">
        <v>305</v>
      </c>
      <c r="C596" s="402"/>
      <c r="D596" s="402"/>
      <c r="E596" s="402"/>
      <c r="F596" s="402"/>
      <c r="G596" s="402"/>
      <c r="H596" s="402"/>
      <c r="K596" s="308" t="s">
        <v>85</v>
      </c>
      <c r="L596" s="40"/>
      <c r="M596" s="1"/>
    </row>
    <row r="597" spans="1:21" ht="15" x14ac:dyDescent="0.25">
      <c r="A597" s="229" t="s">
        <v>87</v>
      </c>
      <c r="B597" s="236" t="s">
        <v>124</v>
      </c>
      <c r="C597" s="24"/>
      <c r="D597" s="24"/>
      <c r="E597" s="24"/>
      <c r="F597" s="24"/>
      <c r="G597" s="24"/>
      <c r="H597" s="24"/>
      <c r="K597" s="308" t="s">
        <v>85</v>
      </c>
      <c r="L597" s="40"/>
      <c r="M597" s="1"/>
    </row>
    <row r="598" spans="1:21" s="8" customFormat="1" ht="29.25" x14ac:dyDescent="0.25">
      <c r="A598" s="276"/>
      <c r="B598" s="237" t="str">
        <f>CONCATENATE($O$2&amp;": "&amp;VLOOKUP($B597,$N$4:$U$27,2,0))</f>
        <v>Font: Arial</v>
      </c>
      <c r="C598" s="19" t="str">
        <f>CONCATENATE($P$2&amp;": "&amp;VLOOKUP($B597,$N$4:$U$27,3,0))</f>
        <v>T-face: Normal</v>
      </c>
      <c r="D598" s="19" t="str">
        <f>CONCATENATE($Q$2&amp;": "&amp;VLOOKUP($B597,$N$4:$U$27,4,0))</f>
        <v>Font size: 11</v>
      </c>
      <c r="E598" s="19" t="str">
        <f>CONCATENATE($R$2&amp;": "&amp;VLOOKUP($B597,$N$4:$U$27,5,0))</f>
        <v>Row height: 26.5</v>
      </c>
      <c r="F598" s="19" t="str">
        <f>CONCATENATE($S$2&amp;": "&amp;VLOOKUP($B597,$N$4:$U$27,6,0))</f>
        <v>Text col: Black</v>
      </c>
      <c r="G598" s="19" t="str">
        <f>CONCATENATE($T$2&amp;": "&amp;VLOOKUP($B597,$N$4:$U$27,7,0))</f>
        <v>BG col: White</v>
      </c>
      <c r="H598" s="19" t="str">
        <f>CONCATENATE($U$2&amp;": "&amp;VLOOKUP($B597,$N$4:$U$27,8,0))</f>
        <v>Just: Left</v>
      </c>
      <c r="I598" s="37"/>
      <c r="J598" s="2"/>
      <c r="K598" s="308" t="s">
        <v>85</v>
      </c>
      <c r="L598" s="40"/>
      <c r="M598" s="1"/>
      <c r="N598" s="2"/>
      <c r="O598" s="2"/>
      <c r="P598" s="2"/>
      <c r="Q598" s="2"/>
      <c r="R598" s="2"/>
      <c r="S598" s="2"/>
      <c r="T598" s="2"/>
      <c r="U598" s="2"/>
    </row>
    <row r="599" spans="1:21" ht="15" x14ac:dyDescent="0.25">
      <c r="A599" s="229" t="s">
        <v>99</v>
      </c>
      <c r="B599" s="236" t="s">
        <v>306</v>
      </c>
      <c r="C599" s="24"/>
      <c r="D599" s="24"/>
      <c r="E599" s="24"/>
      <c r="F599" s="24"/>
      <c r="G599" s="24"/>
      <c r="H599" s="24"/>
      <c r="J599" s="8"/>
      <c r="K599" s="308" t="s">
        <v>85</v>
      </c>
      <c r="L599" s="40"/>
      <c r="M599" s="1"/>
    </row>
    <row r="600" spans="1:21" ht="15" x14ac:dyDescent="0.25">
      <c r="A600" s="229" t="s">
        <v>102</v>
      </c>
      <c r="B600" s="415" t="s">
        <v>307</v>
      </c>
      <c r="C600" s="416"/>
      <c r="D600" s="416"/>
      <c r="E600" s="416"/>
      <c r="F600" s="416"/>
      <c r="G600" s="416"/>
      <c r="H600" s="24"/>
      <c r="K600" s="308" t="s">
        <v>151</v>
      </c>
      <c r="L600" s="40"/>
      <c r="M600" s="1"/>
    </row>
    <row r="601" spans="1:21" ht="15" x14ac:dyDescent="0.25">
      <c r="A601" s="277" t="s">
        <v>104</v>
      </c>
      <c r="B601" s="236" t="s">
        <v>242</v>
      </c>
      <c r="C601" s="24"/>
      <c r="D601" s="24"/>
      <c r="E601" s="24"/>
      <c r="F601" s="24"/>
      <c r="G601" s="24"/>
      <c r="H601" s="24"/>
      <c r="K601" s="308" t="s">
        <v>85</v>
      </c>
      <c r="L601" s="40"/>
      <c r="M601" s="1"/>
    </row>
    <row r="602" spans="1:21" ht="15" x14ac:dyDescent="0.25">
      <c r="A602" s="277" t="s">
        <v>87</v>
      </c>
      <c r="B602" s="403" t="s">
        <v>155</v>
      </c>
      <c r="C602" s="404"/>
      <c r="D602" s="404"/>
      <c r="E602" s="404"/>
      <c r="F602" s="404"/>
      <c r="G602" s="404"/>
      <c r="H602" s="24"/>
      <c r="K602" s="308" t="s">
        <v>85</v>
      </c>
      <c r="L602" s="40"/>
      <c r="M602" s="1"/>
      <c r="T602"/>
      <c r="U602"/>
    </row>
    <row r="603" spans="1:21" ht="15" x14ac:dyDescent="0.25">
      <c r="A603" s="277" t="s">
        <v>110</v>
      </c>
      <c r="B603" s="236" t="s">
        <v>85</v>
      </c>
      <c r="C603" s="24"/>
      <c r="D603" s="24"/>
      <c r="E603" s="24"/>
      <c r="F603" s="24"/>
      <c r="G603" s="24"/>
      <c r="H603" s="24"/>
      <c r="K603" s="308" t="s">
        <v>85</v>
      </c>
      <c r="L603" s="40"/>
      <c r="M603" s="1"/>
      <c r="N603" s="23"/>
      <c r="O603" s="23"/>
      <c r="P603" s="23"/>
      <c r="Q603" s="23"/>
      <c r="R603" s="23"/>
      <c r="S603" s="23"/>
    </row>
    <row r="604" spans="1:21" ht="15" x14ac:dyDescent="0.25">
      <c r="A604" s="277" t="s">
        <v>138</v>
      </c>
      <c r="B604" s="236" t="s">
        <v>85</v>
      </c>
      <c r="C604" s="24"/>
      <c r="D604" s="24"/>
      <c r="E604" s="24"/>
      <c r="F604" s="24"/>
      <c r="G604" s="24"/>
      <c r="H604" s="24"/>
      <c r="K604" s="308" t="s">
        <v>85</v>
      </c>
      <c r="L604" s="40"/>
      <c r="M604" s="1"/>
    </row>
    <row r="605" spans="1:21" ht="15" x14ac:dyDescent="0.25">
      <c r="A605" s="277" t="s">
        <v>140</v>
      </c>
      <c r="B605" s="236" t="s">
        <v>85</v>
      </c>
      <c r="C605" s="24"/>
      <c r="D605" s="24"/>
      <c r="E605" s="24"/>
      <c r="F605" s="24"/>
      <c r="G605" s="24"/>
      <c r="H605" s="24"/>
      <c r="K605" s="308" t="s">
        <v>85</v>
      </c>
      <c r="L605" s="40"/>
      <c r="M605" s="1"/>
    </row>
    <row r="606" spans="1:21" ht="15" x14ac:dyDescent="0.25">
      <c r="A606" s="277" t="s">
        <v>142</v>
      </c>
      <c r="B606" s="236" t="s">
        <v>85</v>
      </c>
      <c r="C606" s="24"/>
      <c r="D606" s="24"/>
      <c r="E606" s="24"/>
      <c r="F606" s="24"/>
      <c r="G606" s="24"/>
      <c r="H606" s="24"/>
      <c r="K606" s="308" t="s">
        <v>85</v>
      </c>
      <c r="L606" s="40"/>
      <c r="M606" s="1"/>
    </row>
    <row r="607" spans="1:21" ht="30" x14ac:dyDescent="0.25">
      <c r="A607" s="278" t="s">
        <v>144</v>
      </c>
      <c r="B607" s="236" t="s">
        <v>296</v>
      </c>
      <c r="C607" s="24"/>
      <c r="D607" s="24"/>
      <c r="E607" s="24"/>
      <c r="F607" s="24"/>
      <c r="G607" s="24"/>
      <c r="H607" s="231"/>
      <c r="K607" s="308" t="s">
        <v>85</v>
      </c>
      <c r="L607" s="40"/>
      <c r="M607" s="1"/>
      <c r="T607" s="8"/>
      <c r="U607" s="8"/>
    </row>
    <row r="608" spans="1:21" customFormat="1" ht="15" x14ac:dyDescent="0.25">
      <c r="A608" s="229" t="s">
        <v>121</v>
      </c>
      <c r="B608" s="403" t="s">
        <v>308</v>
      </c>
      <c r="C608" s="404"/>
      <c r="D608" s="404"/>
      <c r="E608" s="404"/>
      <c r="F608" s="404"/>
      <c r="G608" s="404"/>
      <c r="H608" s="24"/>
      <c r="I608" s="35"/>
      <c r="J608" s="2"/>
      <c r="K608" s="308" t="s">
        <v>85</v>
      </c>
      <c r="L608" s="40"/>
      <c r="M608" s="1"/>
      <c r="N608" s="8"/>
      <c r="O608" s="8"/>
      <c r="P608" s="8"/>
      <c r="Q608" s="8"/>
      <c r="R608" s="8"/>
      <c r="S608" s="8"/>
      <c r="T608" s="2"/>
      <c r="U608" s="2"/>
    </row>
    <row r="609" spans="1:21" ht="15" thickBot="1" x14ac:dyDescent="0.25">
      <c r="A609" s="24"/>
      <c r="B609" s="236"/>
      <c r="C609" s="24"/>
      <c r="D609" s="24"/>
      <c r="E609" s="24"/>
      <c r="F609" s="24"/>
      <c r="G609" s="24"/>
      <c r="H609" s="24"/>
      <c r="K609" s="308" t="s">
        <v>85</v>
      </c>
      <c r="L609" s="40"/>
      <c r="M609" s="1"/>
    </row>
    <row r="610" spans="1:21" ht="15.75" thickBot="1" x14ac:dyDescent="0.3">
      <c r="A610" s="275" t="s">
        <v>309</v>
      </c>
      <c r="B610" s="401" t="s">
        <v>310</v>
      </c>
      <c r="C610" s="402"/>
      <c r="D610" s="402"/>
      <c r="E610" s="402"/>
      <c r="F610" s="402"/>
      <c r="G610" s="402"/>
      <c r="H610" s="402"/>
      <c r="K610" s="308" t="s">
        <v>85</v>
      </c>
      <c r="L610" s="40"/>
      <c r="M610" s="1"/>
    </row>
    <row r="611" spans="1:21" ht="15" x14ac:dyDescent="0.25">
      <c r="A611" s="229" t="s">
        <v>87</v>
      </c>
      <c r="B611" s="236" t="s">
        <v>89</v>
      </c>
      <c r="C611" s="24"/>
      <c r="D611" s="24"/>
      <c r="E611" s="24"/>
      <c r="F611" s="24"/>
      <c r="G611" s="24"/>
      <c r="H611" s="24"/>
      <c r="K611" s="308" t="s">
        <v>85</v>
      </c>
      <c r="L611" s="40"/>
      <c r="M611" s="1"/>
    </row>
    <row r="612" spans="1:21" ht="29.25" x14ac:dyDescent="0.25">
      <c r="A612" s="229"/>
      <c r="B612" s="237" t="str">
        <f>CONCATENATE($O$2&amp;": "&amp;VLOOKUP($B611,$N$4:$U$27,2,0))</f>
        <v>Font: Arial</v>
      </c>
      <c r="C612" s="19" t="str">
        <f>CONCATENATE($P$2&amp;": "&amp;VLOOKUP($B611,$N$4:$U$27,3,0))</f>
        <v>T-face: Dependant</v>
      </c>
      <c r="D612" s="19" t="str">
        <f>CONCATENATE($Q$2&amp;": "&amp;VLOOKUP($B611,$N$4:$U$27,4,0))</f>
        <v>Font size: 11</v>
      </c>
      <c r="E612" s="19" t="str">
        <f>CONCATENATE($R$2&amp;": "&amp;VLOOKUP($B611,$N$4:$U$27,5,0))</f>
        <v>Row height: Dependant</v>
      </c>
      <c r="F612" s="19" t="str">
        <f>CONCATENATE($S$2&amp;": "&amp;VLOOKUP($B611,$N$4:$U$27,6,0))</f>
        <v>Text col: Black</v>
      </c>
      <c r="G612" s="19" t="str">
        <f>CONCATENATE($T$2&amp;": "&amp;VLOOKUP($B611,$N$4:$U$27,7,0))</f>
        <v>BG col: White</v>
      </c>
      <c r="H612" s="19" t="str">
        <f>CONCATENATE($U$2&amp;": "&amp;VLOOKUP($B611,$N$4:$U$27,8,0))</f>
        <v>Just: Left</v>
      </c>
      <c r="K612" s="308" t="s">
        <v>85</v>
      </c>
      <c r="L612" s="40"/>
      <c r="M612" s="1"/>
    </row>
    <row r="613" spans="1:21" ht="57" customHeight="1" x14ac:dyDescent="0.25">
      <c r="A613" s="276" t="s">
        <v>311</v>
      </c>
      <c r="B613" s="420" t="s">
        <v>312</v>
      </c>
      <c r="C613" s="421"/>
      <c r="D613" s="421"/>
      <c r="E613" s="421"/>
      <c r="F613" s="421"/>
      <c r="G613" s="421"/>
      <c r="H613" s="19"/>
      <c r="K613" s="308" t="s">
        <v>151</v>
      </c>
      <c r="L613" s="40"/>
      <c r="M613" s="1"/>
    </row>
    <row r="614" spans="1:21" ht="15" x14ac:dyDescent="0.25">
      <c r="A614" s="229" t="s">
        <v>99</v>
      </c>
      <c r="B614" s="236" t="s">
        <v>313</v>
      </c>
      <c r="C614" s="24"/>
      <c r="D614" s="24"/>
      <c r="E614" s="24"/>
      <c r="F614" s="24"/>
      <c r="G614" s="24"/>
      <c r="H614" s="24"/>
      <c r="K614" s="308" t="s">
        <v>85</v>
      </c>
      <c r="L614" s="40"/>
      <c r="M614" s="1"/>
    </row>
    <row r="615" spans="1:21" ht="15" x14ac:dyDescent="0.25">
      <c r="A615" s="229" t="s">
        <v>102</v>
      </c>
      <c r="B615" s="253">
        <f>'Borrowing expenses'!E32</f>
        <v>0</v>
      </c>
      <c r="C615" s="24"/>
      <c r="D615" s="24"/>
      <c r="E615" s="24"/>
      <c r="F615" s="24"/>
      <c r="G615" s="24"/>
      <c r="H615" s="24"/>
      <c r="K615" s="308" t="s">
        <v>151</v>
      </c>
      <c r="L615" s="40"/>
      <c r="M615" s="1"/>
    </row>
    <row r="616" spans="1:21" ht="15" x14ac:dyDescent="0.25">
      <c r="A616" s="277" t="s">
        <v>247</v>
      </c>
      <c r="B616" s="242" t="s">
        <v>85</v>
      </c>
      <c r="C616" s="24"/>
      <c r="D616" s="24"/>
      <c r="E616" s="24"/>
      <c r="F616" s="24"/>
      <c r="G616" s="24"/>
      <c r="H616" s="24"/>
      <c r="K616" s="308" t="s">
        <v>85</v>
      </c>
      <c r="L616" s="40"/>
      <c r="M616" s="1"/>
      <c r="T616"/>
      <c r="U616"/>
    </row>
    <row r="617" spans="1:21" ht="15" x14ac:dyDescent="0.25">
      <c r="A617" s="277" t="s">
        <v>87</v>
      </c>
      <c r="B617" s="403" t="s">
        <v>314</v>
      </c>
      <c r="C617" s="404"/>
      <c r="D617" s="404"/>
      <c r="E617" s="404"/>
      <c r="F617" s="404"/>
      <c r="G617" s="404"/>
      <c r="H617" s="24"/>
      <c r="K617" s="308" t="s">
        <v>85</v>
      </c>
      <c r="L617" s="40"/>
      <c r="M617" s="1"/>
      <c r="T617"/>
      <c r="U617"/>
    </row>
    <row r="618" spans="1:21" ht="15" x14ac:dyDescent="0.25">
      <c r="A618" s="277" t="s">
        <v>110</v>
      </c>
      <c r="B618" s="236" t="s">
        <v>85</v>
      </c>
      <c r="C618" s="24"/>
      <c r="D618" s="24"/>
      <c r="E618" s="24"/>
      <c r="F618" s="24"/>
      <c r="G618" s="24"/>
      <c r="H618" s="24"/>
      <c r="K618" s="308" t="s">
        <v>85</v>
      </c>
      <c r="L618" s="40"/>
      <c r="M618" s="1"/>
      <c r="N618" s="23"/>
      <c r="O618" s="23"/>
      <c r="P618" s="23"/>
      <c r="Q618" s="23"/>
      <c r="R618" s="23"/>
      <c r="S618" s="23"/>
    </row>
    <row r="619" spans="1:21" ht="15" x14ac:dyDescent="0.25">
      <c r="A619" s="277" t="s">
        <v>138</v>
      </c>
      <c r="B619" s="244" t="s">
        <v>85</v>
      </c>
      <c r="C619" s="24"/>
      <c r="D619" s="24"/>
      <c r="E619" s="24"/>
      <c r="F619" s="24"/>
      <c r="G619" s="24"/>
      <c r="H619" s="24"/>
      <c r="K619" s="308" t="s">
        <v>85</v>
      </c>
      <c r="L619" s="40"/>
      <c r="M619" s="1"/>
    </row>
    <row r="620" spans="1:21" ht="15" x14ac:dyDescent="0.25">
      <c r="A620" s="277" t="s">
        <v>140</v>
      </c>
      <c r="B620" s="413" t="s">
        <v>85</v>
      </c>
      <c r="C620" s="414"/>
      <c r="D620" s="414"/>
      <c r="E620" s="414"/>
      <c r="F620" s="414"/>
      <c r="G620" s="414"/>
      <c r="H620" s="24"/>
      <c r="K620" s="308" t="s">
        <v>85</v>
      </c>
      <c r="L620" s="40"/>
      <c r="M620" s="1"/>
    </row>
    <row r="621" spans="1:21" ht="15" x14ac:dyDescent="0.25">
      <c r="A621" s="277" t="s">
        <v>142</v>
      </c>
      <c r="B621" s="238">
        <f>IF('Borrowing expenses'!$E$30="Yes",'Borrowing expenses'!$E$27-'Borrowing expenses'!$E$31,'Borrowing expenses'!$E$27)</f>
        <v>0</v>
      </c>
      <c r="C621" s="24"/>
      <c r="D621" s="24"/>
      <c r="E621" s="24"/>
      <c r="F621" s="24"/>
      <c r="G621" s="24"/>
      <c r="H621" s="24"/>
      <c r="K621" s="308" t="s">
        <v>151</v>
      </c>
      <c r="L621" s="40"/>
      <c r="M621" s="1"/>
    </row>
    <row r="622" spans="1:21" customFormat="1" ht="30" x14ac:dyDescent="0.25">
      <c r="A622" s="278" t="s">
        <v>144</v>
      </c>
      <c r="B622" s="236" t="str">
        <f>IF(B611=$N$5,"Yes","No")</f>
        <v>No</v>
      </c>
      <c r="C622" s="24"/>
      <c r="D622" s="24"/>
      <c r="E622" s="24"/>
      <c r="F622" s="24"/>
      <c r="G622" s="24"/>
      <c r="H622" s="231"/>
      <c r="I622" s="35"/>
      <c r="J622" s="2"/>
      <c r="K622" s="308" t="s">
        <v>85</v>
      </c>
      <c r="L622" s="40"/>
      <c r="M622" s="1"/>
      <c r="N622" s="2"/>
      <c r="O622" s="2"/>
      <c r="P622" s="2"/>
      <c r="Q622" s="2"/>
      <c r="R622" s="2"/>
      <c r="S622" s="2"/>
      <c r="T622" s="2"/>
      <c r="U622" s="2"/>
    </row>
    <row r="623" spans="1:21" ht="15" x14ac:dyDescent="0.25">
      <c r="A623" s="229" t="s">
        <v>121</v>
      </c>
      <c r="B623" s="403" t="s">
        <v>315</v>
      </c>
      <c r="C623" s="404"/>
      <c r="D623" s="404"/>
      <c r="E623" s="404"/>
      <c r="F623" s="404"/>
      <c r="G623" s="404"/>
      <c r="H623" s="24"/>
      <c r="J623" s="22"/>
      <c r="K623" s="308" t="s">
        <v>85</v>
      </c>
      <c r="L623" s="40"/>
      <c r="M623" s="1"/>
    </row>
    <row r="624" spans="1:21" ht="15" thickBot="1" x14ac:dyDescent="0.25">
      <c r="A624" s="24"/>
      <c r="B624" s="236"/>
      <c r="C624" s="24"/>
      <c r="D624" s="24"/>
      <c r="E624" s="24"/>
      <c r="F624" s="24"/>
      <c r="G624" s="24"/>
      <c r="H624" s="24"/>
      <c r="K624" s="308" t="s">
        <v>85</v>
      </c>
      <c r="L624" s="40"/>
      <c r="M624" s="1"/>
    </row>
    <row r="625" spans="1:21" ht="15.75" thickBot="1" x14ac:dyDescent="0.3">
      <c r="A625" s="275" t="s">
        <v>316</v>
      </c>
      <c r="B625" s="401" t="s">
        <v>233</v>
      </c>
      <c r="C625" s="402"/>
      <c r="D625" s="402"/>
      <c r="E625" s="402"/>
      <c r="F625" s="402"/>
      <c r="G625" s="402"/>
      <c r="H625" s="402"/>
      <c r="K625" s="308" t="s">
        <v>85</v>
      </c>
      <c r="L625" s="40"/>
      <c r="M625" s="1"/>
    </row>
    <row r="626" spans="1:21" ht="15" x14ac:dyDescent="0.25">
      <c r="A626" s="229" t="s">
        <v>87</v>
      </c>
      <c r="B626" s="236" t="s">
        <v>135</v>
      </c>
      <c r="C626" s="24"/>
      <c r="D626" s="24"/>
      <c r="E626" s="24"/>
      <c r="F626" s="24"/>
      <c r="G626" s="24"/>
      <c r="H626" s="24"/>
      <c r="K626" s="308" t="s">
        <v>85</v>
      </c>
      <c r="L626" s="40"/>
      <c r="M626" s="1"/>
    </row>
    <row r="627" spans="1:21" s="8" customFormat="1" ht="15" x14ac:dyDescent="0.25">
      <c r="A627" s="276"/>
      <c r="B627" s="237" t="str">
        <f>CONCATENATE($O$2&amp;": "&amp;VLOOKUP($B626,$N$4:$U$27,2,0))</f>
        <v>Font: Arial</v>
      </c>
      <c r="C627" s="19" t="str">
        <f>CONCATENATE($P$2&amp;": "&amp;VLOOKUP($B626,$N$4:$U$27,3,0))</f>
        <v>T-face: Bold</v>
      </c>
      <c r="D627" s="19" t="str">
        <f>CONCATENATE($Q$2&amp;": "&amp;VLOOKUP($B626,$N$4:$U$27,4,0))</f>
        <v>Font size: 11</v>
      </c>
      <c r="E627" s="19" t="str">
        <f>CONCATENATE($R$2&amp;": "&amp;VLOOKUP($B626,$N$4:$U$27,5,0))</f>
        <v>Row height: 26.5</v>
      </c>
      <c r="F627" s="19" t="str">
        <f>CONCATENATE($S$2&amp;": "&amp;VLOOKUP($B626,$N$4:$U$27,6,0))</f>
        <v>Text col: Blue</v>
      </c>
      <c r="G627" s="19" t="str">
        <f>CONCATENATE($T$2&amp;": "&amp;VLOOKUP($B626,$N$4:$U$27,7,0))</f>
        <v>BG col: White</v>
      </c>
      <c r="H627" s="19" t="str">
        <f>CONCATENATE($U$2&amp;": "&amp;VLOOKUP($B626,$N$4:$U$27,8,0))</f>
        <v>Just: Left</v>
      </c>
      <c r="I627" s="37"/>
      <c r="J627" s="2"/>
      <c r="K627" s="308" t="s">
        <v>85</v>
      </c>
      <c r="L627" s="40"/>
      <c r="M627" s="1"/>
      <c r="N627" s="2"/>
      <c r="O627" s="2"/>
      <c r="P627" s="2"/>
      <c r="Q627" s="2"/>
      <c r="R627" s="2"/>
      <c r="S627" s="2"/>
      <c r="T627" s="2"/>
      <c r="U627" s="2"/>
    </row>
    <row r="628" spans="1:21" s="8" customFormat="1" ht="15" x14ac:dyDescent="0.25">
      <c r="A628" s="229" t="s">
        <v>99</v>
      </c>
      <c r="B628" s="236" t="s">
        <v>234</v>
      </c>
      <c r="C628" s="24"/>
      <c r="D628" s="24"/>
      <c r="E628" s="24"/>
      <c r="F628" s="24"/>
      <c r="G628" s="24"/>
      <c r="H628" s="24"/>
      <c r="I628" s="23"/>
      <c r="K628" s="308" t="s">
        <v>85</v>
      </c>
      <c r="L628" s="40"/>
      <c r="M628" s="1"/>
      <c r="N628" s="2"/>
      <c r="O628" s="2"/>
      <c r="P628" s="2"/>
      <c r="Q628" s="2"/>
      <c r="R628" s="2"/>
      <c r="S628" s="2"/>
      <c r="T628" s="2"/>
      <c r="U628" s="2"/>
    </row>
    <row r="629" spans="1:21" s="8" customFormat="1" ht="15" customHeight="1" x14ac:dyDescent="0.25">
      <c r="A629" s="229" t="s">
        <v>102</v>
      </c>
      <c r="B629" s="415" t="s">
        <v>317</v>
      </c>
      <c r="C629" s="416"/>
      <c r="D629" s="416"/>
      <c r="E629" s="416"/>
      <c r="F629" s="416"/>
      <c r="G629" s="416"/>
      <c r="H629" s="24"/>
      <c r="I629" s="23"/>
      <c r="K629" s="308" t="s">
        <v>151</v>
      </c>
      <c r="L629" s="40"/>
      <c r="M629" s="1"/>
      <c r="N629" s="2"/>
      <c r="O629" s="2"/>
      <c r="P629" s="2"/>
      <c r="Q629" s="2"/>
      <c r="R629" s="2"/>
      <c r="S629" s="2"/>
      <c r="T629" s="2"/>
      <c r="U629" s="2"/>
    </row>
    <row r="630" spans="1:21" ht="15" x14ac:dyDescent="0.25">
      <c r="A630" s="277" t="s">
        <v>104</v>
      </c>
      <c r="B630" s="236" t="s">
        <v>236</v>
      </c>
      <c r="C630" s="24"/>
      <c r="D630" s="24"/>
      <c r="E630" s="24"/>
      <c r="F630" s="24"/>
      <c r="G630" s="24"/>
      <c r="H630" s="24"/>
      <c r="I630" s="37"/>
      <c r="J630" s="8"/>
      <c r="K630" s="308" t="s">
        <v>85</v>
      </c>
      <c r="L630" s="40"/>
      <c r="M630" s="1"/>
    </row>
    <row r="631" spans="1:21" ht="15" x14ac:dyDescent="0.25">
      <c r="A631" s="277" t="s">
        <v>87</v>
      </c>
      <c r="B631" s="403" t="s">
        <v>155</v>
      </c>
      <c r="C631" s="404"/>
      <c r="D631" s="404"/>
      <c r="E631" s="404"/>
      <c r="F631" s="404"/>
      <c r="G631" s="404"/>
      <c r="H631" s="24"/>
      <c r="K631" s="308" t="s">
        <v>85</v>
      </c>
      <c r="L631" s="40"/>
      <c r="M631" s="1"/>
      <c r="T631"/>
      <c r="U631"/>
    </row>
    <row r="632" spans="1:21" ht="15" x14ac:dyDescent="0.25">
      <c r="A632" s="277" t="s">
        <v>110</v>
      </c>
      <c r="B632" s="236" t="s">
        <v>85</v>
      </c>
      <c r="C632" s="24"/>
      <c r="D632" s="24"/>
      <c r="E632" s="24"/>
      <c r="F632" s="24"/>
      <c r="G632" s="24"/>
      <c r="H632" s="24"/>
      <c r="K632" s="308" t="s">
        <v>85</v>
      </c>
      <c r="L632" s="40"/>
      <c r="M632" s="1"/>
      <c r="N632" s="23"/>
      <c r="O632" s="23"/>
      <c r="P632" s="23"/>
      <c r="Q632" s="23"/>
      <c r="R632" s="23"/>
      <c r="S632" s="23"/>
    </row>
    <row r="633" spans="1:21" ht="15" x14ac:dyDescent="0.25">
      <c r="A633" s="277" t="s">
        <v>138</v>
      </c>
      <c r="B633" s="236" t="s">
        <v>85</v>
      </c>
      <c r="C633" s="24"/>
      <c r="D633" s="24"/>
      <c r="E633" s="24"/>
      <c r="F633" s="24"/>
      <c r="G633" s="24"/>
      <c r="H633" s="24"/>
      <c r="K633" s="308" t="s">
        <v>85</v>
      </c>
      <c r="L633" s="40"/>
      <c r="M633" s="1"/>
    </row>
    <row r="634" spans="1:21" ht="15" x14ac:dyDescent="0.25">
      <c r="A634" s="277" t="s">
        <v>140</v>
      </c>
      <c r="B634" s="236" t="s">
        <v>85</v>
      </c>
      <c r="C634" s="24"/>
      <c r="D634" s="24"/>
      <c r="E634" s="24"/>
      <c r="F634" s="24"/>
      <c r="G634" s="24"/>
      <c r="H634" s="24"/>
      <c r="K634" s="308" t="s">
        <v>85</v>
      </c>
      <c r="L634" s="40"/>
      <c r="M634" s="1"/>
    </row>
    <row r="635" spans="1:21" ht="15" x14ac:dyDescent="0.25">
      <c r="A635" s="277" t="s">
        <v>142</v>
      </c>
      <c r="B635" s="236" t="s">
        <v>85</v>
      </c>
      <c r="C635" s="24"/>
      <c r="D635" s="24"/>
      <c r="E635" s="24"/>
      <c r="F635" s="24"/>
      <c r="G635" s="24"/>
      <c r="H635" s="24"/>
      <c r="I635" s="153"/>
      <c r="K635" s="308" t="s">
        <v>85</v>
      </c>
      <c r="L635" s="40"/>
      <c r="M635" s="1"/>
    </row>
    <row r="636" spans="1:21" ht="30" x14ac:dyDescent="0.25">
      <c r="A636" s="278" t="s">
        <v>144</v>
      </c>
      <c r="B636" s="236" t="str">
        <f>IF(B626=$N$5,"Yes","No")</f>
        <v>No</v>
      </c>
      <c r="C636" s="24"/>
      <c r="D636" s="24"/>
      <c r="E636" s="24"/>
      <c r="F636" s="24"/>
      <c r="G636" s="24"/>
      <c r="H636" s="231"/>
      <c r="K636" s="308" t="s">
        <v>85</v>
      </c>
      <c r="L636" s="40"/>
      <c r="M636" s="1"/>
      <c r="T636" s="8"/>
      <c r="U636" s="8"/>
    </row>
    <row r="637" spans="1:21" ht="15" x14ac:dyDescent="0.25">
      <c r="A637" s="229" t="s">
        <v>121</v>
      </c>
      <c r="B637" s="403" t="s">
        <v>318</v>
      </c>
      <c r="C637" s="404"/>
      <c r="D637" s="404"/>
      <c r="E637" s="404"/>
      <c r="F637" s="404"/>
      <c r="G637" s="404"/>
      <c r="H637" s="24"/>
      <c r="K637" s="308" t="s">
        <v>85</v>
      </c>
      <c r="L637" s="40"/>
      <c r="M637" s="1"/>
      <c r="N637" s="8"/>
      <c r="O637" s="8"/>
      <c r="P637" s="8"/>
      <c r="Q637" s="8"/>
      <c r="R637" s="8"/>
      <c r="S637" s="8"/>
      <c r="T637" s="8"/>
      <c r="U637" s="8"/>
    </row>
    <row r="638" spans="1:21" ht="15" thickBot="1" x14ac:dyDescent="0.25">
      <c r="A638" s="24"/>
      <c r="B638" s="236"/>
      <c r="C638" s="24"/>
      <c r="D638" s="24"/>
      <c r="E638" s="24"/>
      <c r="F638" s="24"/>
      <c r="G638" s="24"/>
      <c r="H638" s="24"/>
      <c r="K638" s="308" t="s">
        <v>85</v>
      </c>
      <c r="L638" s="40"/>
      <c r="M638" s="1"/>
      <c r="N638" s="8"/>
      <c r="O638" s="8"/>
      <c r="P638" s="8"/>
      <c r="Q638" s="8"/>
      <c r="R638" s="8"/>
      <c r="S638" s="8"/>
      <c r="T638" s="8"/>
      <c r="U638" s="8"/>
    </row>
    <row r="639" spans="1:21" ht="15.75" thickBot="1" x14ac:dyDescent="0.3">
      <c r="A639" s="275" t="s">
        <v>319</v>
      </c>
      <c r="B639" s="401" t="s">
        <v>320</v>
      </c>
      <c r="C639" s="402"/>
      <c r="D639" s="402"/>
      <c r="E639" s="402"/>
      <c r="F639" s="402"/>
      <c r="G639" s="402"/>
      <c r="H639" s="402"/>
      <c r="K639" s="308" t="s">
        <v>85</v>
      </c>
      <c r="L639" s="40"/>
      <c r="M639" s="1"/>
      <c r="N639" s="8"/>
      <c r="O639" s="8"/>
      <c r="P639" s="8"/>
      <c r="Q639" s="8"/>
      <c r="R639" s="8"/>
      <c r="S639" s="8"/>
    </row>
    <row r="640" spans="1:21" ht="15" x14ac:dyDescent="0.25">
      <c r="A640" s="229" t="s">
        <v>87</v>
      </c>
      <c r="B640" s="236" t="s">
        <v>118</v>
      </c>
      <c r="C640" s="24"/>
      <c r="D640" s="24"/>
      <c r="E640" s="24"/>
      <c r="F640" s="24"/>
      <c r="G640" s="24"/>
      <c r="H640" s="24"/>
      <c r="K640" s="308" t="s">
        <v>85</v>
      </c>
      <c r="L640" s="40"/>
      <c r="M640" s="1"/>
    </row>
    <row r="641" spans="1:21" ht="29.25" x14ac:dyDescent="0.25">
      <c r="A641" s="229"/>
      <c r="B641" s="237" t="str">
        <f>CONCATENATE($O$2&amp;": "&amp;VLOOKUP($B640,$N$4:$U$27,2,0))</f>
        <v>Font: Arial</v>
      </c>
      <c r="C641" s="19" t="str">
        <f>CONCATENATE($P$2&amp;": "&amp;VLOOKUP($B640,$N$4:$U$27,3,0))</f>
        <v>T-face: Normal</v>
      </c>
      <c r="D641" s="19" t="str">
        <f>CONCATENATE($Q$2&amp;": "&amp;VLOOKUP($B640,$N$4:$U$27,4,0))</f>
        <v>Font size: 11</v>
      </c>
      <c r="E641" s="19" t="str">
        <f>CONCATENATE($R$2&amp;": "&amp;VLOOKUP($B640,$N$4:$U$27,5,0))</f>
        <v>Row height: 15</v>
      </c>
      <c r="F641" s="19" t="str">
        <f>CONCATENATE($S$2&amp;": "&amp;VLOOKUP($B640,$N$4:$U$27,6,0))</f>
        <v>Text col: Black</v>
      </c>
      <c r="G641" s="19" t="str">
        <f>CONCATENATE($T$2&amp;": "&amp;VLOOKUP($B640,$N$4:$U$27,7,0))</f>
        <v>BG col: White</v>
      </c>
      <c r="H641" s="19" t="str">
        <f>CONCATENATE($U$2&amp;": "&amp;VLOOKUP($B640,$N$4:$U$27,8,0))</f>
        <v>Just: Left</v>
      </c>
      <c r="K641" s="308" t="s">
        <v>85</v>
      </c>
      <c r="L641" s="40"/>
      <c r="M641" s="1"/>
    </row>
    <row r="642" spans="1:21" s="8" customFormat="1" ht="15" x14ac:dyDescent="0.25">
      <c r="A642" s="229" t="s">
        <v>99</v>
      </c>
      <c r="B642" s="236" t="s">
        <v>321</v>
      </c>
      <c r="C642" s="24"/>
      <c r="D642" s="24"/>
      <c r="E642" s="24"/>
      <c r="F642" s="24"/>
      <c r="G642" s="24"/>
      <c r="H642" s="24"/>
      <c r="I642" s="37"/>
      <c r="J642" s="2"/>
      <c r="K642" s="308" t="s">
        <v>85</v>
      </c>
      <c r="L642" s="40"/>
      <c r="M642" s="1"/>
      <c r="N642" s="2"/>
      <c r="O642" s="2"/>
      <c r="P642" s="2"/>
      <c r="Q642" s="2"/>
      <c r="R642" s="2"/>
      <c r="S642" s="2"/>
      <c r="T642" s="2"/>
      <c r="U642" s="2"/>
    </row>
    <row r="643" spans="1:21" ht="15" x14ac:dyDescent="0.25">
      <c r="A643" s="229" t="s">
        <v>102</v>
      </c>
      <c r="B643" s="407" t="s">
        <v>322</v>
      </c>
      <c r="C643" s="408"/>
      <c r="D643" s="408"/>
      <c r="E643" s="408"/>
      <c r="F643" s="408"/>
      <c r="G643" s="408"/>
      <c r="H643" s="24"/>
      <c r="J643" s="8"/>
      <c r="K643" s="308" t="s">
        <v>151</v>
      </c>
      <c r="L643" s="40"/>
      <c r="M643" s="1"/>
    </row>
    <row r="644" spans="1:21" ht="15" x14ac:dyDescent="0.25">
      <c r="A644" s="277" t="s">
        <v>104</v>
      </c>
      <c r="B644" s="236" t="s">
        <v>236</v>
      </c>
      <c r="C644" s="24"/>
      <c r="D644" s="24"/>
      <c r="E644" s="24"/>
      <c r="F644" s="24"/>
      <c r="G644" s="24"/>
      <c r="H644" s="24"/>
      <c r="K644" s="308" t="s">
        <v>85</v>
      </c>
      <c r="L644" s="40"/>
      <c r="M644" s="1"/>
    </row>
    <row r="645" spans="1:21" ht="15" x14ac:dyDescent="0.25">
      <c r="A645" s="277" t="s">
        <v>87</v>
      </c>
      <c r="B645" s="403" t="s">
        <v>155</v>
      </c>
      <c r="C645" s="404"/>
      <c r="D645" s="404"/>
      <c r="E645" s="404"/>
      <c r="F645" s="404"/>
      <c r="G645" s="404"/>
      <c r="H645" s="24"/>
      <c r="K645" s="308" t="s">
        <v>85</v>
      </c>
      <c r="L645" s="40"/>
      <c r="M645" s="1"/>
      <c r="T645"/>
      <c r="U645"/>
    </row>
    <row r="646" spans="1:21" ht="15" x14ac:dyDescent="0.25">
      <c r="A646" s="277" t="s">
        <v>110</v>
      </c>
      <c r="B646" s="236" t="s">
        <v>85</v>
      </c>
      <c r="C646" s="24"/>
      <c r="D646" s="24"/>
      <c r="E646" s="24"/>
      <c r="F646" s="24"/>
      <c r="G646" s="24"/>
      <c r="H646" s="24"/>
      <c r="K646" s="308" t="s">
        <v>85</v>
      </c>
      <c r="L646" s="40"/>
      <c r="M646" s="1"/>
      <c r="N646" s="23"/>
      <c r="O646" s="23"/>
      <c r="P646" s="23"/>
      <c r="Q646" s="23"/>
      <c r="R646" s="23"/>
      <c r="S646" s="23"/>
    </row>
    <row r="647" spans="1:21" ht="15" x14ac:dyDescent="0.25">
      <c r="A647" s="277" t="s">
        <v>138</v>
      </c>
      <c r="B647" s="236" t="s">
        <v>85</v>
      </c>
      <c r="C647" s="24"/>
      <c r="D647" s="24"/>
      <c r="E647" s="24"/>
      <c r="F647" s="24"/>
      <c r="G647" s="24"/>
      <c r="H647" s="24"/>
      <c r="K647" s="308" t="s">
        <v>85</v>
      </c>
      <c r="L647" s="40"/>
      <c r="M647" s="1"/>
    </row>
    <row r="648" spans="1:21" ht="15" x14ac:dyDescent="0.25">
      <c r="A648" s="277" t="s">
        <v>140</v>
      </c>
      <c r="B648" s="236" t="s">
        <v>85</v>
      </c>
      <c r="C648" s="24"/>
      <c r="D648" s="24"/>
      <c r="E648" s="24"/>
      <c r="F648" s="24"/>
      <c r="G648" s="24"/>
      <c r="H648" s="24"/>
      <c r="K648" s="308" t="s">
        <v>85</v>
      </c>
      <c r="L648" s="40"/>
      <c r="M648" s="1"/>
    </row>
    <row r="649" spans="1:21" ht="15" x14ac:dyDescent="0.25">
      <c r="A649" s="277" t="s">
        <v>142</v>
      </c>
      <c r="B649" s="236" t="s">
        <v>85</v>
      </c>
      <c r="C649" s="24"/>
      <c r="D649" s="24"/>
      <c r="E649" s="24"/>
      <c r="F649" s="24"/>
      <c r="G649" s="24"/>
      <c r="H649" s="24"/>
      <c r="K649" s="308" t="s">
        <v>85</v>
      </c>
      <c r="L649" s="40"/>
      <c r="M649" s="1"/>
    </row>
    <row r="650" spans="1:21" ht="30" x14ac:dyDescent="0.25">
      <c r="A650" s="278" t="s">
        <v>144</v>
      </c>
      <c r="B650" s="236" t="str">
        <f>IF(B640=$N$5,"Yes","No")</f>
        <v>No</v>
      </c>
      <c r="C650" s="24"/>
      <c r="D650" s="24"/>
      <c r="E650" s="24"/>
      <c r="F650" s="24"/>
      <c r="G650" s="24"/>
      <c r="H650" s="231"/>
      <c r="K650" s="308" t="s">
        <v>85</v>
      </c>
      <c r="L650" s="40"/>
      <c r="M650" s="1"/>
    </row>
    <row r="651" spans="1:21" ht="15" x14ac:dyDescent="0.25">
      <c r="A651" s="229" t="s">
        <v>121</v>
      </c>
      <c r="B651" s="403" t="s">
        <v>323</v>
      </c>
      <c r="C651" s="404"/>
      <c r="D651" s="404"/>
      <c r="E651" s="404"/>
      <c r="F651" s="404"/>
      <c r="G651" s="404"/>
      <c r="H651" s="24"/>
      <c r="K651" s="308" t="s">
        <v>85</v>
      </c>
      <c r="L651" s="40"/>
      <c r="M651" s="1"/>
      <c r="T651" s="8"/>
      <c r="U651" s="8"/>
    </row>
    <row r="652" spans="1:21" ht="15" thickBot="1" x14ac:dyDescent="0.25">
      <c r="A652" s="24"/>
      <c r="B652" s="236"/>
      <c r="C652" s="24"/>
      <c r="D652" s="24"/>
      <c r="E652" s="24"/>
      <c r="F652" s="24"/>
      <c r="G652" s="24"/>
      <c r="H652" s="24"/>
      <c r="K652" s="308" t="s">
        <v>85</v>
      </c>
      <c r="L652" s="40"/>
      <c r="M652" s="1"/>
      <c r="N652" s="8"/>
      <c r="O652" s="8"/>
      <c r="P652" s="8"/>
      <c r="Q652" s="8"/>
      <c r="R652" s="8"/>
      <c r="S652" s="8"/>
    </row>
    <row r="653" spans="1:21" ht="15.75" thickBot="1" x14ac:dyDescent="0.3">
      <c r="A653" s="275" t="s">
        <v>324</v>
      </c>
      <c r="B653" s="401" t="s">
        <v>325</v>
      </c>
      <c r="C653" s="402"/>
      <c r="D653" s="402"/>
      <c r="E653" s="402"/>
      <c r="F653" s="402"/>
      <c r="G653" s="402"/>
      <c r="H653" s="402"/>
      <c r="K653" s="308" t="s">
        <v>85</v>
      </c>
      <c r="L653" s="40"/>
      <c r="M653" s="1"/>
    </row>
    <row r="654" spans="1:21" ht="15" x14ac:dyDescent="0.25">
      <c r="A654" s="229" t="s">
        <v>87</v>
      </c>
      <c r="B654" s="236" t="s">
        <v>136</v>
      </c>
      <c r="C654" s="24"/>
      <c r="D654" s="24"/>
      <c r="E654" s="24"/>
      <c r="F654" s="24"/>
      <c r="G654" s="24"/>
      <c r="H654" s="24"/>
      <c r="K654" s="308" t="s">
        <v>85</v>
      </c>
      <c r="L654" s="40"/>
      <c r="M654" s="1"/>
    </row>
    <row r="655" spans="1:21" ht="29.25" x14ac:dyDescent="0.25">
      <c r="A655" s="229"/>
      <c r="B655" s="237" t="str">
        <f>CONCATENATE($O$2&amp;": "&amp;VLOOKUP($B654,$N$4:$U$27,2,0))</f>
        <v>Font: Arial</v>
      </c>
      <c r="C655" s="19" t="str">
        <f>CONCATENATE($P$2&amp;": "&amp;VLOOKUP($B654,$N$4:$U$27,3,0))</f>
        <v>T-face: Bold</v>
      </c>
      <c r="D655" s="19" t="str">
        <f>CONCATENATE($Q$2&amp;": "&amp;VLOOKUP($B654,$N$4:$U$27,4,0))</f>
        <v>Font size: 11</v>
      </c>
      <c r="E655" s="19" t="str">
        <f>CONCATENATE($R$2&amp;": "&amp;VLOOKUP($B654,$N$4:$U$27,5,0))</f>
        <v>Row height: 26.5</v>
      </c>
      <c r="F655" s="19" t="str">
        <f>CONCATENATE($S$2&amp;": "&amp;VLOOKUP($B654,$N$4:$U$27,6,0))</f>
        <v>Text col: Black</v>
      </c>
      <c r="G655" s="19" t="str">
        <f>CONCATENATE($T$2&amp;": "&amp;VLOOKUP($B654,$N$4:$U$27,7,0))</f>
        <v>BG col: Light Sky blue</v>
      </c>
      <c r="H655" s="19" t="str">
        <f>CONCATENATE($U$2&amp;": "&amp;VLOOKUP($B654,$N$4:$U$27,8,0))</f>
        <v>Just: Left</v>
      </c>
      <c r="K655" s="308" t="s">
        <v>85</v>
      </c>
      <c r="L655" s="40"/>
      <c r="M655" s="1"/>
    </row>
    <row r="656" spans="1:21" s="8" customFormat="1" ht="15" x14ac:dyDescent="0.25">
      <c r="A656" s="229" t="s">
        <v>99</v>
      </c>
      <c r="B656" s="236" t="s">
        <v>326</v>
      </c>
      <c r="C656" s="24"/>
      <c r="D656" s="24"/>
      <c r="E656" s="24"/>
      <c r="F656" s="24"/>
      <c r="G656" s="24"/>
      <c r="H656" s="24"/>
      <c r="I656" s="37"/>
      <c r="J656" s="2"/>
      <c r="K656" s="308" t="s">
        <v>85</v>
      </c>
      <c r="L656" s="40"/>
      <c r="M656" s="1"/>
      <c r="N656" s="2"/>
      <c r="O656" s="2"/>
      <c r="P656" s="2"/>
      <c r="Q656" s="2"/>
      <c r="R656" s="2"/>
      <c r="S656" s="2"/>
      <c r="T656" s="2"/>
      <c r="U656" s="2"/>
    </row>
    <row r="657" spans="1:21" ht="15" x14ac:dyDescent="0.25">
      <c r="A657" s="229" t="s">
        <v>102</v>
      </c>
      <c r="B657" s="407" t="s">
        <v>327</v>
      </c>
      <c r="C657" s="408"/>
      <c r="D657" s="408"/>
      <c r="E657" s="408"/>
      <c r="F657" s="408"/>
      <c r="G657" s="408"/>
      <c r="H657" s="24"/>
      <c r="J657" s="8"/>
      <c r="K657" s="308" t="s">
        <v>151</v>
      </c>
      <c r="L657" s="40"/>
      <c r="M657" s="1"/>
    </row>
    <row r="658" spans="1:21" ht="15" x14ac:dyDescent="0.25">
      <c r="A658" s="277" t="s">
        <v>104</v>
      </c>
      <c r="B658" s="236" t="s">
        <v>236</v>
      </c>
      <c r="C658" s="24"/>
      <c r="D658" s="24"/>
      <c r="E658" s="24"/>
      <c r="F658" s="24"/>
      <c r="G658" s="24"/>
      <c r="H658" s="24"/>
      <c r="K658" s="308" t="s">
        <v>85</v>
      </c>
      <c r="L658" s="40"/>
      <c r="M658" s="1"/>
    </row>
    <row r="659" spans="1:21" ht="15" x14ac:dyDescent="0.25">
      <c r="A659" s="277" t="s">
        <v>87</v>
      </c>
      <c r="B659" s="403" t="s">
        <v>155</v>
      </c>
      <c r="C659" s="404"/>
      <c r="D659" s="404"/>
      <c r="E659" s="404"/>
      <c r="F659" s="404"/>
      <c r="G659" s="404"/>
      <c r="H659" s="24"/>
      <c r="K659" s="308" t="s">
        <v>85</v>
      </c>
      <c r="L659" s="40"/>
      <c r="M659" s="1"/>
      <c r="T659"/>
      <c r="U659"/>
    </row>
    <row r="660" spans="1:21" ht="15" x14ac:dyDescent="0.25">
      <c r="A660" s="277" t="s">
        <v>110</v>
      </c>
      <c r="B660" s="236" t="s">
        <v>85</v>
      </c>
      <c r="C660" s="24"/>
      <c r="D660" s="24"/>
      <c r="E660" s="24"/>
      <c r="F660" s="24"/>
      <c r="G660" s="24"/>
      <c r="H660" s="24"/>
      <c r="K660" s="308" t="s">
        <v>85</v>
      </c>
      <c r="L660" s="40"/>
      <c r="M660" s="1"/>
      <c r="N660" s="23"/>
      <c r="O660" s="23"/>
      <c r="P660" s="23"/>
      <c r="Q660" s="23"/>
      <c r="R660" s="23"/>
      <c r="S660" s="23"/>
    </row>
    <row r="661" spans="1:21" ht="15" x14ac:dyDescent="0.25">
      <c r="A661" s="277" t="s">
        <v>138</v>
      </c>
      <c r="B661" s="236" t="s">
        <v>85</v>
      </c>
      <c r="C661" s="24"/>
      <c r="D661" s="24"/>
      <c r="E661" s="24"/>
      <c r="F661" s="24"/>
      <c r="G661" s="24"/>
      <c r="H661" s="24"/>
      <c r="K661" s="308" t="s">
        <v>85</v>
      </c>
      <c r="L661" s="40"/>
      <c r="M661" s="1"/>
    </row>
    <row r="662" spans="1:21" ht="15" x14ac:dyDescent="0.25">
      <c r="A662" s="277" t="s">
        <v>140</v>
      </c>
      <c r="B662" s="236" t="s">
        <v>85</v>
      </c>
      <c r="C662" s="24"/>
      <c r="D662" s="24"/>
      <c r="E662" s="24"/>
      <c r="F662" s="24"/>
      <c r="G662" s="24"/>
      <c r="H662" s="24"/>
      <c r="K662" s="308" t="s">
        <v>85</v>
      </c>
      <c r="L662" s="40"/>
      <c r="M662" s="1"/>
    </row>
    <row r="663" spans="1:21" ht="15" x14ac:dyDescent="0.25">
      <c r="A663" s="277" t="s">
        <v>142</v>
      </c>
      <c r="B663" s="236" t="s">
        <v>85</v>
      </c>
      <c r="C663" s="24"/>
      <c r="D663" s="24"/>
      <c r="E663" s="24"/>
      <c r="F663" s="24"/>
      <c r="G663" s="24"/>
      <c r="H663" s="24"/>
      <c r="K663" s="308" t="s">
        <v>85</v>
      </c>
      <c r="L663" s="40"/>
      <c r="M663" s="1"/>
    </row>
    <row r="664" spans="1:21" ht="30" x14ac:dyDescent="0.25">
      <c r="A664" s="278" t="s">
        <v>144</v>
      </c>
      <c r="B664" s="236" t="str">
        <f>IF(B654=$N$5,"Yes","No")</f>
        <v>No</v>
      </c>
      <c r="C664" s="24"/>
      <c r="D664" s="24"/>
      <c r="E664" s="24"/>
      <c r="F664" s="24"/>
      <c r="G664" s="24"/>
      <c r="H664" s="231"/>
      <c r="K664" s="308" t="s">
        <v>85</v>
      </c>
      <c r="L664" s="40"/>
      <c r="M664" s="1"/>
    </row>
    <row r="665" spans="1:21" ht="15" x14ac:dyDescent="0.25">
      <c r="A665" s="229" t="s">
        <v>121</v>
      </c>
      <c r="B665" s="403" t="s">
        <v>328</v>
      </c>
      <c r="C665" s="404"/>
      <c r="D665" s="404"/>
      <c r="E665" s="404"/>
      <c r="F665" s="404"/>
      <c r="G665" s="404"/>
      <c r="H665" s="24"/>
      <c r="K665" s="308" t="s">
        <v>85</v>
      </c>
      <c r="L665" s="40"/>
      <c r="M665" s="1"/>
      <c r="T665" s="8"/>
      <c r="U665" s="8"/>
    </row>
    <row r="666" spans="1:21" ht="15" thickBot="1" x14ac:dyDescent="0.25">
      <c r="A666" s="24"/>
      <c r="B666" s="236"/>
      <c r="C666" s="24"/>
      <c r="D666" s="24"/>
      <c r="E666" s="24"/>
      <c r="F666" s="24"/>
      <c r="G666" s="24"/>
      <c r="H666" s="24"/>
      <c r="K666" s="308" t="s">
        <v>85</v>
      </c>
      <c r="L666" s="40"/>
      <c r="M666" s="1"/>
      <c r="N666" s="8"/>
      <c r="O666" s="8"/>
      <c r="P666" s="8"/>
      <c r="Q666" s="8"/>
      <c r="R666" s="8"/>
      <c r="S666" s="8"/>
    </row>
    <row r="667" spans="1:21" ht="15.75" thickBot="1" x14ac:dyDescent="0.3">
      <c r="A667" s="275" t="s">
        <v>329</v>
      </c>
      <c r="B667" s="401" t="s">
        <v>330</v>
      </c>
      <c r="C667" s="402"/>
      <c r="D667" s="402"/>
      <c r="E667" s="402"/>
      <c r="F667" s="402"/>
      <c r="G667" s="402"/>
      <c r="H667" s="402"/>
      <c r="K667" s="308" t="s">
        <v>85</v>
      </c>
      <c r="L667" s="40"/>
      <c r="M667" s="1"/>
    </row>
    <row r="668" spans="1:21" ht="15" x14ac:dyDescent="0.25">
      <c r="A668" s="229" t="s">
        <v>87</v>
      </c>
      <c r="B668" s="236" t="s">
        <v>136</v>
      </c>
      <c r="C668" s="24"/>
      <c r="D668" s="24"/>
      <c r="E668" s="24"/>
      <c r="F668" s="24"/>
      <c r="G668" s="24"/>
      <c r="H668" s="24"/>
      <c r="K668" s="308" t="s">
        <v>85</v>
      </c>
      <c r="L668" s="40"/>
      <c r="M668" s="1"/>
    </row>
    <row r="669" spans="1:21" ht="29.25" x14ac:dyDescent="0.25">
      <c r="A669" s="229"/>
      <c r="B669" s="237" t="str">
        <f>CONCATENATE($O$2&amp;": "&amp;VLOOKUP($B668,$N$4:$U$27,2,0))</f>
        <v>Font: Arial</v>
      </c>
      <c r="C669" s="19" t="str">
        <f>CONCATENATE($P$2&amp;": "&amp;VLOOKUP($B668,$N$4:$U$27,3,0))</f>
        <v>T-face: Bold</v>
      </c>
      <c r="D669" s="19" t="str">
        <f>CONCATENATE($Q$2&amp;": "&amp;VLOOKUP($B668,$N$4:$U$27,4,0))</f>
        <v>Font size: 11</v>
      </c>
      <c r="E669" s="19" t="str">
        <f>CONCATENATE($R$2&amp;": "&amp;VLOOKUP($B668,$N$4:$U$27,5,0))</f>
        <v>Row height: 26.5</v>
      </c>
      <c r="F669" s="19" t="str">
        <f>CONCATENATE($S$2&amp;": "&amp;VLOOKUP($B668,$N$4:$U$27,6,0))</f>
        <v>Text col: Black</v>
      </c>
      <c r="G669" s="19" t="str">
        <f>CONCATENATE($T$2&amp;": "&amp;VLOOKUP($B668,$N$4:$U$27,7,0))</f>
        <v>BG col: Light Sky blue</v>
      </c>
      <c r="H669" s="19" t="str">
        <f>CONCATENATE($U$2&amp;": "&amp;VLOOKUP($B668,$N$4:$U$27,8,0))</f>
        <v>Just: Left</v>
      </c>
      <c r="K669" s="308" t="s">
        <v>85</v>
      </c>
      <c r="L669" s="40"/>
      <c r="M669" s="1"/>
    </row>
    <row r="670" spans="1:21" s="8" customFormat="1" ht="15" x14ac:dyDescent="0.25">
      <c r="A670" s="229" t="s">
        <v>99</v>
      </c>
      <c r="B670" s="236" t="s">
        <v>246</v>
      </c>
      <c r="C670" s="24"/>
      <c r="D670" s="24"/>
      <c r="E670" s="24"/>
      <c r="F670" s="24"/>
      <c r="G670" s="24"/>
      <c r="H670" s="24"/>
      <c r="I670" s="37"/>
      <c r="J670" s="2"/>
      <c r="K670" s="308" t="s">
        <v>85</v>
      </c>
      <c r="L670" s="40"/>
      <c r="M670" s="1"/>
      <c r="N670" s="2"/>
      <c r="O670" s="2"/>
      <c r="P670" s="2"/>
      <c r="Q670" s="2"/>
      <c r="R670" s="2"/>
      <c r="S670" s="2"/>
      <c r="T670" s="2"/>
      <c r="U670" s="2"/>
    </row>
    <row r="671" spans="1:21" ht="27.95" customHeight="1" x14ac:dyDescent="0.25">
      <c r="A671" s="229" t="s">
        <v>102</v>
      </c>
      <c r="B671" s="403" t="s">
        <v>331</v>
      </c>
      <c r="C671" s="404"/>
      <c r="D671" s="404"/>
      <c r="E671" s="404"/>
      <c r="F671" s="404"/>
      <c r="G671" s="404"/>
      <c r="H671" s="24"/>
      <c r="J671" s="8"/>
      <c r="K671" s="308" t="s">
        <v>151</v>
      </c>
      <c r="L671" s="40"/>
      <c r="M671" s="1"/>
    </row>
    <row r="672" spans="1:21" ht="30" customHeight="1" x14ac:dyDescent="0.25">
      <c r="A672" s="277" t="s">
        <v>104</v>
      </c>
      <c r="B672" s="403" t="s">
        <v>332</v>
      </c>
      <c r="C672" s="404"/>
      <c r="D672" s="404"/>
      <c r="E672" s="404"/>
      <c r="F672" s="404"/>
      <c r="G672" s="404"/>
      <c r="H672" s="24"/>
      <c r="K672" s="308" t="s">
        <v>85</v>
      </c>
      <c r="L672" s="40"/>
      <c r="M672" s="1"/>
    </row>
    <row r="673" spans="1:21" ht="15" x14ac:dyDescent="0.25">
      <c r="A673" s="277" t="s">
        <v>87</v>
      </c>
      <c r="B673" s="403" t="s">
        <v>155</v>
      </c>
      <c r="C673" s="404"/>
      <c r="D673" s="404"/>
      <c r="E673" s="404"/>
      <c r="F673" s="404"/>
      <c r="G673" s="404"/>
      <c r="H673" s="24"/>
      <c r="K673" s="308" t="s">
        <v>85</v>
      </c>
      <c r="L673" s="40"/>
      <c r="M673" s="1"/>
      <c r="T673"/>
      <c r="U673"/>
    </row>
    <row r="674" spans="1:21" ht="15" x14ac:dyDescent="0.25">
      <c r="A674" s="277" t="s">
        <v>110</v>
      </c>
      <c r="B674" s="236" t="s">
        <v>85</v>
      </c>
      <c r="C674" s="24"/>
      <c r="D674" s="24"/>
      <c r="E674" s="24"/>
      <c r="F674" s="24"/>
      <c r="G674" s="24"/>
      <c r="H674" s="24"/>
      <c r="K674" s="308" t="s">
        <v>85</v>
      </c>
      <c r="L674" s="40"/>
      <c r="M674" s="1"/>
      <c r="N674" s="23"/>
      <c r="O674" s="23"/>
      <c r="P674" s="23"/>
      <c r="Q674" s="23"/>
      <c r="R674" s="23"/>
      <c r="S674" s="23"/>
    </row>
    <row r="675" spans="1:21" ht="15" x14ac:dyDescent="0.25">
      <c r="A675" s="277" t="s">
        <v>138</v>
      </c>
      <c r="B675" s="236" t="s">
        <v>85</v>
      </c>
      <c r="C675" s="24"/>
      <c r="D675" s="24"/>
      <c r="E675" s="24"/>
      <c r="F675" s="24"/>
      <c r="G675" s="24"/>
      <c r="H675" s="24"/>
      <c r="K675" s="308" t="s">
        <v>85</v>
      </c>
      <c r="L675" s="40"/>
      <c r="M675" s="1"/>
    </row>
    <row r="676" spans="1:21" ht="15" x14ac:dyDescent="0.25">
      <c r="A676" s="277" t="s">
        <v>140</v>
      </c>
      <c r="B676" s="236" t="s">
        <v>85</v>
      </c>
      <c r="C676" s="24"/>
      <c r="D676" s="24"/>
      <c r="E676" s="24"/>
      <c r="F676" s="24"/>
      <c r="G676" s="24"/>
      <c r="H676" s="24"/>
      <c r="K676" s="308" t="s">
        <v>85</v>
      </c>
      <c r="L676" s="40"/>
      <c r="M676" s="1"/>
    </row>
    <row r="677" spans="1:21" ht="15" x14ac:dyDescent="0.25">
      <c r="A677" s="277" t="s">
        <v>142</v>
      </c>
      <c r="B677" s="236" t="s">
        <v>85</v>
      </c>
      <c r="C677" s="24"/>
      <c r="D677" s="24"/>
      <c r="E677" s="24"/>
      <c r="F677" s="24"/>
      <c r="G677" s="24"/>
      <c r="H677" s="24"/>
      <c r="K677" s="308" t="s">
        <v>85</v>
      </c>
      <c r="L677" s="40"/>
      <c r="M677" s="1"/>
    </row>
    <row r="678" spans="1:21" ht="30" x14ac:dyDescent="0.25">
      <c r="A678" s="278" t="s">
        <v>144</v>
      </c>
      <c r="B678" s="236" t="str">
        <f>IF(B668=$N$5,"Yes","No")</f>
        <v>No</v>
      </c>
      <c r="C678" s="24"/>
      <c r="D678" s="24"/>
      <c r="E678" s="24"/>
      <c r="F678" s="24"/>
      <c r="G678" s="24"/>
      <c r="H678" s="231"/>
      <c r="K678" s="308" t="s">
        <v>85</v>
      </c>
      <c r="L678" s="40"/>
      <c r="M678" s="1"/>
    </row>
    <row r="679" spans="1:21" ht="26.1" customHeight="1" x14ac:dyDescent="0.25">
      <c r="A679" s="229" t="s">
        <v>121</v>
      </c>
      <c r="B679" s="403" t="s">
        <v>333</v>
      </c>
      <c r="C679" s="404"/>
      <c r="D679" s="404"/>
      <c r="E679" s="404"/>
      <c r="F679" s="404"/>
      <c r="G679" s="404"/>
      <c r="H679" s="24"/>
      <c r="K679" s="308" t="s">
        <v>85</v>
      </c>
      <c r="L679" s="40"/>
      <c r="M679" s="1"/>
      <c r="T679" s="8"/>
      <c r="U679" s="8"/>
    </row>
    <row r="680" spans="1:21" ht="15.75" thickBot="1" x14ac:dyDescent="0.3">
      <c r="A680" s="229"/>
      <c r="B680" s="236"/>
      <c r="C680" s="24"/>
      <c r="D680" s="24"/>
      <c r="E680" s="24"/>
      <c r="F680" s="24"/>
      <c r="G680" s="24"/>
      <c r="H680" s="24"/>
      <c r="K680" s="308" t="s">
        <v>85</v>
      </c>
      <c r="L680" s="40"/>
      <c r="M680" s="1"/>
      <c r="N680" s="8"/>
      <c r="O680" s="8"/>
      <c r="P680" s="8"/>
      <c r="Q680" s="8"/>
      <c r="R680" s="8"/>
      <c r="S680" s="8"/>
    </row>
    <row r="681" spans="1:21" ht="15.75" thickBot="1" x14ac:dyDescent="0.3">
      <c r="A681" s="275" t="s">
        <v>334</v>
      </c>
      <c r="B681" s="401" t="s">
        <v>335</v>
      </c>
      <c r="C681" s="402"/>
      <c r="D681" s="402"/>
      <c r="E681" s="402"/>
      <c r="F681" s="402"/>
      <c r="G681" s="402"/>
      <c r="H681" s="402"/>
      <c r="K681" s="308" t="s">
        <v>85</v>
      </c>
      <c r="L681" s="40"/>
      <c r="M681" s="1"/>
    </row>
    <row r="682" spans="1:21" ht="15" x14ac:dyDescent="0.25">
      <c r="A682" s="229" t="s">
        <v>87</v>
      </c>
      <c r="B682" s="236" t="s">
        <v>124</v>
      </c>
      <c r="C682" s="24"/>
      <c r="D682" s="24"/>
      <c r="E682" s="24"/>
      <c r="F682" s="24"/>
      <c r="G682" s="24"/>
      <c r="H682" s="24"/>
      <c r="K682" s="308" t="s">
        <v>85</v>
      </c>
      <c r="L682" s="40"/>
      <c r="M682" s="1"/>
    </row>
    <row r="683" spans="1:21" s="8" customFormat="1" ht="29.25" x14ac:dyDescent="0.25">
      <c r="A683" s="276"/>
      <c r="B683" s="237" t="str">
        <f>CONCATENATE($O$2&amp;": "&amp;VLOOKUP($B682,$N$4:$U$27,2,0))</f>
        <v>Font: Arial</v>
      </c>
      <c r="C683" s="19" t="str">
        <f>CONCATENATE($P$2&amp;": "&amp;VLOOKUP($B682,$N$4:$U$27,3,0))</f>
        <v>T-face: Normal</v>
      </c>
      <c r="D683" s="19" t="str">
        <f>CONCATENATE($Q$2&amp;": "&amp;VLOOKUP($B682,$N$4:$U$27,4,0))</f>
        <v>Font size: 11</v>
      </c>
      <c r="E683" s="19" t="str">
        <f>CONCATENATE($R$2&amp;": "&amp;VLOOKUP($B682,$N$4:$U$27,5,0))</f>
        <v>Row height: 26.5</v>
      </c>
      <c r="F683" s="19" t="str">
        <f>CONCATENATE($S$2&amp;": "&amp;VLOOKUP($B682,$N$4:$U$27,6,0))</f>
        <v>Text col: Black</v>
      </c>
      <c r="G683" s="19" t="str">
        <f>CONCATENATE($T$2&amp;": "&amp;VLOOKUP($B682,$N$4:$U$27,7,0))</f>
        <v>BG col: White</v>
      </c>
      <c r="H683" s="19" t="str">
        <f>CONCATENATE($U$2&amp;": "&amp;VLOOKUP($B682,$N$4:$U$27,8,0))</f>
        <v>Just: Left</v>
      </c>
      <c r="I683" s="37"/>
      <c r="J683" s="2"/>
      <c r="K683" s="308" t="s">
        <v>85</v>
      </c>
      <c r="L683" s="40"/>
      <c r="M683" s="1"/>
      <c r="N683" s="2"/>
      <c r="O683" s="2"/>
      <c r="P683" s="2"/>
      <c r="Q683" s="2"/>
      <c r="R683" s="2"/>
      <c r="S683" s="2"/>
      <c r="T683" s="2"/>
      <c r="U683" s="2"/>
    </row>
    <row r="684" spans="1:21" ht="15" x14ac:dyDescent="0.25">
      <c r="A684" s="229" t="s">
        <v>99</v>
      </c>
      <c r="B684" s="236" t="s">
        <v>240</v>
      </c>
      <c r="C684" s="24"/>
      <c r="D684" s="24"/>
      <c r="E684" s="24"/>
      <c r="F684" s="24"/>
      <c r="G684" s="24"/>
      <c r="H684" s="24"/>
      <c r="J684" s="8"/>
      <c r="K684" s="308" t="s">
        <v>85</v>
      </c>
      <c r="L684" s="40"/>
      <c r="M684" s="1"/>
    </row>
    <row r="685" spans="1:21" ht="15" x14ac:dyDescent="0.25">
      <c r="A685" s="229" t="s">
        <v>102</v>
      </c>
      <c r="B685" s="407" t="s">
        <v>336</v>
      </c>
      <c r="C685" s="408"/>
      <c r="D685" s="408"/>
      <c r="E685" s="408"/>
      <c r="F685" s="408"/>
      <c r="G685" s="408"/>
      <c r="H685" s="24"/>
      <c r="K685" s="308" t="s">
        <v>151</v>
      </c>
      <c r="L685" s="40"/>
      <c r="M685" s="1"/>
    </row>
    <row r="686" spans="1:21" ht="15" x14ac:dyDescent="0.25">
      <c r="A686" s="277" t="s">
        <v>104</v>
      </c>
      <c r="B686" s="236" t="s">
        <v>242</v>
      </c>
      <c r="C686" s="24"/>
      <c r="D686" s="24"/>
      <c r="E686" s="24"/>
      <c r="F686" s="24"/>
      <c r="G686" s="24"/>
      <c r="H686" s="24"/>
      <c r="K686" s="308" t="s">
        <v>85</v>
      </c>
      <c r="L686" s="40"/>
      <c r="M686" s="1"/>
    </row>
    <row r="687" spans="1:21" ht="15" x14ac:dyDescent="0.25">
      <c r="A687" s="277" t="s">
        <v>87</v>
      </c>
      <c r="B687" s="403" t="s">
        <v>155</v>
      </c>
      <c r="C687" s="404"/>
      <c r="D687" s="404"/>
      <c r="E687" s="404"/>
      <c r="F687" s="404"/>
      <c r="G687" s="404"/>
      <c r="H687" s="24"/>
      <c r="K687" s="308" t="s">
        <v>85</v>
      </c>
      <c r="L687" s="40"/>
      <c r="M687" s="1"/>
      <c r="T687"/>
      <c r="U687"/>
    </row>
    <row r="688" spans="1:21" ht="15" x14ac:dyDescent="0.25">
      <c r="A688" s="277" t="s">
        <v>110</v>
      </c>
      <c r="B688" s="236" t="s">
        <v>85</v>
      </c>
      <c r="C688" s="24"/>
      <c r="D688" s="24"/>
      <c r="E688" s="24"/>
      <c r="F688" s="24"/>
      <c r="G688" s="24"/>
      <c r="H688" s="24"/>
      <c r="K688" s="308" t="s">
        <v>85</v>
      </c>
      <c r="L688" s="40"/>
      <c r="M688" s="1"/>
      <c r="N688" s="23"/>
      <c r="O688" s="23"/>
      <c r="P688" s="23"/>
      <c r="Q688" s="23"/>
      <c r="R688" s="23"/>
      <c r="S688" s="23"/>
    </row>
    <row r="689" spans="1:21" ht="15" x14ac:dyDescent="0.25">
      <c r="A689" s="277" t="s">
        <v>138</v>
      </c>
      <c r="B689" s="236" t="s">
        <v>85</v>
      </c>
      <c r="C689" s="24"/>
      <c r="D689" s="24"/>
      <c r="E689" s="24"/>
      <c r="F689" s="24"/>
      <c r="G689" s="24"/>
      <c r="H689" s="24"/>
      <c r="K689" s="308" t="s">
        <v>85</v>
      </c>
      <c r="L689" s="40"/>
      <c r="M689" s="1"/>
    </row>
    <row r="690" spans="1:21" ht="15" x14ac:dyDescent="0.25">
      <c r="A690" s="277" t="s">
        <v>140</v>
      </c>
      <c r="B690" s="236" t="s">
        <v>85</v>
      </c>
      <c r="C690" s="24"/>
      <c r="D690" s="24"/>
      <c r="E690" s="24"/>
      <c r="F690" s="24"/>
      <c r="G690" s="24"/>
      <c r="H690" s="24"/>
      <c r="K690" s="308" t="s">
        <v>85</v>
      </c>
      <c r="L690" s="40"/>
      <c r="M690" s="1"/>
    </row>
    <row r="691" spans="1:21" ht="15" x14ac:dyDescent="0.25">
      <c r="A691" s="277" t="s">
        <v>142</v>
      </c>
      <c r="B691" s="236" t="s">
        <v>85</v>
      </c>
      <c r="C691" s="24"/>
      <c r="D691" s="24"/>
      <c r="E691" s="24"/>
      <c r="F691" s="24"/>
      <c r="G691" s="24"/>
      <c r="H691" s="24"/>
      <c r="K691" s="308" t="s">
        <v>85</v>
      </c>
      <c r="L691" s="40"/>
      <c r="M691" s="1"/>
    </row>
    <row r="692" spans="1:21" customFormat="1" ht="30" x14ac:dyDescent="0.25">
      <c r="A692" s="278" t="s">
        <v>144</v>
      </c>
      <c r="B692" s="236" t="str">
        <f>IF(B682=$N$5,"Yes","No")</f>
        <v>No</v>
      </c>
      <c r="C692" s="24"/>
      <c r="D692" s="24"/>
      <c r="E692" s="24"/>
      <c r="F692" s="24"/>
      <c r="G692" s="24"/>
      <c r="H692" s="231"/>
      <c r="I692" s="35"/>
      <c r="J692" s="2"/>
      <c r="K692" s="308" t="s">
        <v>85</v>
      </c>
      <c r="L692" s="40"/>
      <c r="M692" s="1"/>
      <c r="N692" s="2"/>
      <c r="O692" s="2"/>
      <c r="P692" s="2"/>
      <c r="Q692" s="2"/>
      <c r="R692" s="2"/>
      <c r="S692" s="2"/>
      <c r="T692" s="8"/>
      <c r="U692" s="8"/>
    </row>
    <row r="693" spans="1:21" ht="15" x14ac:dyDescent="0.25">
      <c r="A693" s="229" t="s">
        <v>121</v>
      </c>
      <c r="B693" s="403" t="s">
        <v>337</v>
      </c>
      <c r="C693" s="404"/>
      <c r="D693" s="404"/>
      <c r="E693" s="404"/>
      <c r="F693" s="404"/>
      <c r="G693" s="404"/>
      <c r="H693" s="24"/>
      <c r="J693" s="22"/>
      <c r="K693" s="308" t="s">
        <v>85</v>
      </c>
      <c r="L693" s="40"/>
      <c r="M693" s="1"/>
      <c r="N693" s="8"/>
      <c r="O693" s="8"/>
      <c r="P693" s="8"/>
      <c r="Q693" s="8"/>
      <c r="R693" s="8"/>
      <c r="S693" s="8"/>
    </row>
    <row r="694" spans="1:21" ht="15" thickBot="1" x14ac:dyDescent="0.25">
      <c r="A694" s="24"/>
      <c r="B694" s="236"/>
      <c r="C694" s="24"/>
      <c r="D694" s="24"/>
      <c r="E694" s="24"/>
      <c r="F694" s="24"/>
      <c r="G694" s="24"/>
      <c r="H694" s="24"/>
      <c r="K694" s="308" t="s">
        <v>85</v>
      </c>
      <c r="L694" s="40"/>
      <c r="M694" s="1"/>
    </row>
    <row r="695" spans="1:21" ht="15.75" thickBot="1" x14ac:dyDescent="0.3">
      <c r="A695" s="275" t="s">
        <v>338</v>
      </c>
      <c r="B695" s="401" t="s">
        <v>339</v>
      </c>
      <c r="C695" s="402"/>
      <c r="D695" s="402"/>
      <c r="E695" s="402"/>
      <c r="F695" s="402"/>
      <c r="G695" s="402"/>
      <c r="H695" s="402"/>
      <c r="K695" s="308" t="s">
        <v>85</v>
      </c>
      <c r="L695" s="40"/>
      <c r="M695" s="1"/>
    </row>
    <row r="696" spans="1:21" ht="15" x14ac:dyDescent="0.25">
      <c r="A696" s="229" t="s">
        <v>87</v>
      </c>
      <c r="B696" s="236" t="s">
        <v>95</v>
      </c>
      <c r="C696" s="24"/>
      <c r="D696" s="24"/>
      <c r="E696" s="24"/>
      <c r="F696" s="24"/>
      <c r="G696" s="24"/>
      <c r="H696" s="24"/>
      <c r="K696" s="308" t="s">
        <v>85</v>
      </c>
      <c r="L696" s="40"/>
      <c r="M696" s="1"/>
    </row>
    <row r="697" spans="1:21" ht="29.25" x14ac:dyDescent="0.25">
      <c r="A697" s="276"/>
      <c r="B697" s="237" t="str">
        <f>CONCATENATE($O$2&amp;": "&amp;VLOOKUP($B696,$N$4:$U$27,2,0))</f>
        <v>Font: Arial</v>
      </c>
      <c r="C697" s="19" t="str">
        <f>CONCATENATE($P$2&amp;": "&amp;VLOOKUP($B696,$N$4:$U$27,3,0))</f>
        <v>T-face: Normal</v>
      </c>
      <c r="D697" s="19" t="str">
        <f>CONCATENATE($Q$2&amp;": "&amp;VLOOKUP($B696,$N$4:$U$27,4,0))</f>
        <v>Font size: 11</v>
      </c>
      <c r="E697" s="19" t="str">
        <f>CONCATENATE($R$2&amp;": "&amp;VLOOKUP($B696,$N$4:$U$27,5,0))</f>
        <v>Row height: Dependant</v>
      </c>
      <c r="F697" s="19" t="str">
        <f>CONCATENATE($S$2&amp;": "&amp;VLOOKUP($B696,$N$4:$U$27,6,0))</f>
        <v>Text col: Black</v>
      </c>
      <c r="G697" s="19" t="str">
        <f>CONCATENATE($T$2&amp;": "&amp;VLOOKUP($B696,$N$4:$U$27,7,0))</f>
        <v>BG col: Light grey</v>
      </c>
      <c r="H697" s="19" t="str">
        <f>CONCATENATE($U$2&amp;": "&amp;VLOOKUP($B696,$N$4:$U$27,8,0))</f>
        <v>Just: Right</v>
      </c>
      <c r="K697" s="308" t="s">
        <v>85</v>
      </c>
      <c r="L697" s="40"/>
      <c r="M697" s="1"/>
    </row>
    <row r="698" spans="1:21" ht="15" x14ac:dyDescent="0.25">
      <c r="A698" s="229" t="s">
        <v>99</v>
      </c>
      <c r="B698" s="236" t="s">
        <v>246</v>
      </c>
      <c r="C698" s="24"/>
      <c r="D698" s="24"/>
      <c r="E698" s="24"/>
      <c r="F698" s="24"/>
      <c r="G698" s="24"/>
      <c r="H698" s="24"/>
      <c r="K698" s="308" t="s">
        <v>85</v>
      </c>
      <c r="L698" s="40"/>
      <c r="M698" s="1"/>
    </row>
    <row r="699" spans="1:21" ht="15" x14ac:dyDescent="0.25">
      <c r="A699" s="229" t="s">
        <v>102</v>
      </c>
      <c r="B699" s="253">
        <f>'Borrowing expenses'!E36</f>
        <v>0</v>
      </c>
      <c r="C699" s="24"/>
      <c r="D699" s="24"/>
      <c r="E699" s="24"/>
      <c r="F699" s="24"/>
      <c r="G699" s="24"/>
      <c r="H699" s="24"/>
      <c r="K699" s="308" t="s">
        <v>151</v>
      </c>
      <c r="L699" s="40"/>
      <c r="M699" s="1"/>
    </row>
    <row r="700" spans="1:21" ht="15" x14ac:dyDescent="0.25">
      <c r="A700" s="277" t="s">
        <v>247</v>
      </c>
      <c r="B700" s="242" t="s">
        <v>340</v>
      </c>
      <c r="C700" s="24"/>
      <c r="D700" s="24"/>
      <c r="E700" s="24"/>
      <c r="F700" s="24"/>
      <c r="G700" s="24"/>
      <c r="H700" s="24"/>
      <c r="K700" s="308" t="s">
        <v>85</v>
      </c>
      <c r="L700" s="40"/>
      <c r="M700" s="1"/>
      <c r="T700"/>
      <c r="U700"/>
    </row>
    <row r="701" spans="1:21" ht="15" x14ac:dyDescent="0.25">
      <c r="A701" s="277" t="s">
        <v>87</v>
      </c>
      <c r="B701" s="403" t="s">
        <v>265</v>
      </c>
      <c r="C701" s="404"/>
      <c r="D701" s="404"/>
      <c r="E701" s="404"/>
      <c r="F701" s="404"/>
      <c r="G701" s="404"/>
      <c r="H701" s="24"/>
      <c r="K701" s="308" t="s">
        <v>85</v>
      </c>
      <c r="L701" s="40"/>
      <c r="M701" s="1"/>
      <c r="N701" s="23"/>
      <c r="O701" s="23"/>
      <c r="P701" s="23"/>
      <c r="Q701" s="23"/>
      <c r="R701" s="23"/>
      <c r="S701" s="23"/>
    </row>
    <row r="702" spans="1:21" ht="15" x14ac:dyDescent="0.25">
      <c r="A702" s="277" t="s">
        <v>110</v>
      </c>
      <c r="B702" s="236">
        <v>0</v>
      </c>
      <c r="C702" s="24"/>
      <c r="D702" s="24"/>
      <c r="E702" s="24"/>
      <c r="F702" s="24"/>
      <c r="G702" s="24"/>
      <c r="H702" s="24"/>
      <c r="K702" s="308" t="s">
        <v>151</v>
      </c>
      <c r="L702" s="40"/>
      <c r="M702" s="1"/>
    </row>
    <row r="703" spans="1:21" ht="15" x14ac:dyDescent="0.25">
      <c r="A703" s="277" t="s">
        <v>138</v>
      </c>
      <c r="B703" s="244">
        <v>1000</v>
      </c>
      <c r="C703" s="24"/>
      <c r="D703" s="24"/>
      <c r="E703" s="24"/>
      <c r="F703" s="24"/>
      <c r="G703" s="24"/>
      <c r="H703" s="24"/>
      <c r="K703" s="308" t="s">
        <v>151</v>
      </c>
      <c r="L703" s="40"/>
      <c r="M703" s="1"/>
    </row>
    <row r="704" spans="1:21" ht="15" x14ac:dyDescent="0.25">
      <c r="A704" s="277" t="s">
        <v>140</v>
      </c>
      <c r="B704" s="405" t="s">
        <v>341</v>
      </c>
      <c r="C704" s="406"/>
      <c r="D704" s="406"/>
      <c r="E704" s="406"/>
      <c r="F704" s="406"/>
      <c r="G704" s="406"/>
      <c r="H704" s="24"/>
      <c r="K704" s="308" t="s">
        <v>85</v>
      </c>
      <c r="L704" s="40"/>
      <c r="M704" s="1"/>
    </row>
    <row r="705" spans="1:21" ht="15" x14ac:dyDescent="0.25">
      <c r="A705" s="277" t="s">
        <v>142</v>
      </c>
      <c r="B705" s="236" t="s">
        <v>85</v>
      </c>
      <c r="C705" s="24"/>
      <c r="D705" s="24"/>
      <c r="E705" s="24"/>
      <c r="F705" s="24"/>
      <c r="G705" s="24"/>
      <c r="H705" s="24"/>
      <c r="K705" s="308" t="s">
        <v>85</v>
      </c>
      <c r="L705" s="40"/>
      <c r="M705" s="1"/>
    </row>
    <row r="706" spans="1:21" ht="30" x14ac:dyDescent="0.25">
      <c r="A706" s="278" t="s">
        <v>144</v>
      </c>
      <c r="B706" s="236" t="str">
        <f>IF(B696=$N$5,"Yes","No")</f>
        <v>Yes</v>
      </c>
      <c r="C706" s="24"/>
      <c r="D706" s="24"/>
      <c r="E706" s="24"/>
      <c r="F706" s="24"/>
      <c r="G706" s="24"/>
      <c r="H706" s="231"/>
      <c r="K706" s="308" t="s">
        <v>85</v>
      </c>
      <c r="L706" s="40"/>
      <c r="M706" s="1"/>
    </row>
    <row r="707" spans="1:21" ht="15" x14ac:dyDescent="0.25">
      <c r="A707" s="229" t="s">
        <v>121</v>
      </c>
      <c r="B707" s="403" t="s">
        <v>266</v>
      </c>
      <c r="C707" s="404"/>
      <c r="D707" s="404"/>
      <c r="E707" s="404"/>
      <c r="F707" s="404"/>
      <c r="G707" s="404"/>
      <c r="H707" s="24"/>
      <c r="K707" s="308" t="s">
        <v>85</v>
      </c>
      <c r="L707" s="40"/>
      <c r="M707" s="1"/>
    </row>
    <row r="708" spans="1:21" ht="15" thickBot="1" x14ac:dyDescent="0.25">
      <c r="A708" s="24"/>
      <c r="B708" s="236"/>
      <c r="C708" s="24"/>
      <c r="D708" s="24"/>
      <c r="E708" s="24"/>
      <c r="F708" s="24"/>
      <c r="G708" s="24"/>
      <c r="H708" s="24"/>
      <c r="K708" s="308" t="s">
        <v>85</v>
      </c>
      <c r="L708" s="40"/>
      <c r="M708" s="1"/>
    </row>
    <row r="709" spans="1:21" ht="15.75" thickBot="1" x14ac:dyDescent="0.3">
      <c r="A709" s="275" t="s">
        <v>342</v>
      </c>
      <c r="B709" s="401" t="s">
        <v>343</v>
      </c>
      <c r="C709" s="402"/>
      <c r="D709" s="402"/>
      <c r="E709" s="402"/>
      <c r="F709" s="402"/>
      <c r="G709" s="402"/>
      <c r="H709" s="402"/>
      <c r="K709" s="308" t="s">
        <v>85</v>
      </c>
      <c r="L709" s="40"/>
      <c r="M709" s="1"/>
    </row>
    <row r="710" spans="1:21" ht="15" x14ac:dyDescent="0.25">
      <c r="A710" s="229" t="s">
        <v>87</v>
      </c>
      <c r="B710" s="236" t="s">
        <v>126</v>
      </c>
      <c r="C710" s="24"/>
      <c r="D710" s="24"/>
      <c r="E710" s="24"/>
      <c r="F710" s="24"/>
      <c r="G710" s="24"/>
      <c r="H710" s="24"/>
      <c r="K710" s="308" t="s">
        <v>85</v>
      </c>
      <c r="L710" s="40"/>
      <c r="M710" s="1"/>
    </row>
    <row r="711" spans="1:21" s="8" customFormat="1" ht="29.25" x14ac:dyDescent="0.25">
      <c r="A711" s="276"/>
      <c r="B711" s="237" t="str">
        <f>CONCATENATE($O$2&amp;": "&amp;VLOOKUP($B710,$N$4:$U$27,2,0))</f>
        <v>Font: Arial</v>
      </c>
      <c r="C711" s="19" t="str">
        <f>CONCATENATE($P$2&amp;": "&amp;VLOOKUP($B710,$N$4:$U$27,3,0))</f>
        <v>T-face: Normal</v>
      </c>
      <c r="D711" s="19" t="str">
        <f>CONCATENATE($Q$2&amp;": "&amp;VLOOKUP($B710,$N$4:$U$27,4,0))</f>
        <v>Font size: 11</v>
      </c>
      <c r="E711" s="19" t="str">
        <f>CONCATENATE($R$2&amp;": "&amp;VLOOKUP($B710,$N$4:$U$27,5,0))</f>
        <v>Row height: 40.5</v>
      </c>
      <c r="F711" s="19" t="str">
        <f>CONCATENATE($S$2&amp;": "&amp;VLOOKUP($B710,$N$4:$U$27,6,0))</f>
        <v>Text col: Black</v>
      </c>
      <c r="G711" s="19" t="str">
        <f>CONCATENATE($T$2&amp;": "&amp;VLOOKUP($B710,$N$4:$U$27,7,0))</f>
        <v>BG col: White</v>
      </c>
      <c r="H711" s="19" t="str">
        <f>CONCATENATE($U$2&amp;": "&amp;VLOOKUP($B710,$N$4:$U$27,8,0))</f>
        <v>Just: Left</v>
      </c>
      <c r="I711" s="37"/>
      <c r="J711" s="2"/>
      <c r="K711" s="308" t="s">
        <v>85</v>
      </c>
      <c r="L711" s="40"/>
      <c r="M711" s="1"/>
      <c r="N711" s="2"/>
      <c r="O711" s="2"/>
      <c r="P711" s="2"/>
      <c r="Q711" s="2"/>
      <c r="R711" s="2"/>
      <c r="S711" s="2"/>
      <c r="T711" s="2"/>
      <c r="U711" s="2"/>
    </row>
    <row r="712" spans="1:21" ht="15" x14ac:dyDescent="0.25">
      <c r="A712" s="229" t="s">
        <v>99</v>
      </c>
      <c r="B712" s="236" t="s">
        <v>240</v>
      </c>
      <c r="C712" s="24"/>
      <c r="D712" s="24"/>
      <c r="E712" s="24"/>
      <c r="F712" s="24"/>
      <c r="G712" s="24"/>
      <c r="H712" s="24"/>
      <c r="K712" s="308" t="s">
        <v>85</v>
      </c>
      <c r="L712" s="40"/>
      <c r="M712" s="1"/>
    </row>
    <row r="713" spans="1:21" ht="29.1" customHeight="1" x14ac:dyDescent="0.25">
      <c r="A713" s="229" t="s">
        <v>102</v>
      </c>
      <c r="B713" s="415" t="s">
        <v>344</v>
      </c>
      <c r="C713" s="416"/>
      <c r="D713" s="416"/>
      <c r="E713" s="416"/>
      <c r="F713" s="416"/>
      <c r="G713" s="416"/>
      <c r="H713" s="24"/>
      <c r="K713" s="308" t="s">
        <v>151</v>
      </c>
      <c r="L713" s="40"/>
      <c r="M713" s="1"/>
    </row>
    <row r="714" spans="1:21" ht="15" x14ac:dyDescent="0.25">
      <c r="A714" s="277" t="s">
        <v>104</v>
      </c>
      <c r="B714" s="236" t="s">
        <v>345</v>
      </c>
      <c r="C714" s="24"/>
      <c r="D714" s="24"/>
      <c r="E714" s="24"/>
      <c r="F714" s="24"/>
      <c r="G714" s="24"/>
      <c r="H714" s="24"/>
      <c r="K714" s="308" t="s">
        <v>85</v>
      </c>
      <c r="L714" s="40"/>
      <c r="M714" s="1"/>
    </row>
    <row r="715" spans="1:21" ht="15" x14ac:dyDescent="0.25">
      <c r="A715" s="277" t="s">
        <v>87</v>
      </c>
      <c r="B715" s="403" t="s">
        <v>155</v>
      </c>
      <c r="C715" s="404"/>
      <c r="D715" s="404"/>
      <c r="E715" s="404"/>
      <c r="F715" s="404"/>
      <c r="G715" s="404"/>
      <c r="H715" s="24"/>
      <c r="K715" s="308" t="s">
        <v>85</v>
      </c>
      <c r="L715" s="40"/>
      <c r="M715" s="1"/>
      <c r="T715"/>
      <c r="U715"/>
    </row>
    <row r="716" spans="1:21" ht="15" x14ac:dyDescent="0.25">
      <c r="A716" s="277" t="s">
        <v>110</v>
      </c>
      <c r="B716" s="236" t="s">
        <v>85</v>
      </c>
      <c r="C716" s="24"/>
      <c r="D716" s="24"/>
      <c r="E716" s="24"/>
      <c r="F716" s="24"/>
      <c r="G716" s="24"/>
      <c r="H716" s="24"/>
      <c r="K716" s="308" t="s">
        <v>85</v>
      </c>
      <c r="L716" s="40"/>
      <c r="M716" s="1"/>
    </row>
    <row r="717" spans="1:21" ht="15" x14ac:dyDescent="0.25">
      <c r="A717" s="277" t="s">
        <v>138</v>
      </c>
      <c r="B717" s="236" t="s">
        <v>85</v>
      </c>
      <c r="C717" s="24"/>
      <c r="D717" s="24"/>
      <c r="E717" s="24"/>
      <c r="F717" s="24"/>
      <c r="G717" s="24"/>
      <c r="H717" s="24"/>
      <c r="K717" s="308" t="s">
        <v>85</v>
      </c>
      <c r="L717" s="40"/>
      <c r="M717" s="1"/>
    </row>
    <row r="718" spans="1:21" ht="15" x14ac:dyDescent="0.25">
      <c r="A718" s="277" t="s">
        <v>140</v>
      </c>
      <c r="B718" s="236" t="s">
        <v>85</v>
      </c>
      <c r="C718" s="24"/>
      <c r="D718" s="24"/>
      <c r="E718" s="24"/>
      <c r="F718" s="24"/>
      <c r="G718" s="24"/>
      <c r="H718" s="24"/>
      <c r="K718" s="308" t="s">
        <v>85</v>
      </c>
      <c r="L718" s="40"/>
      <c r="M718" s="1"/>
      <c r="T718" s="8"/>
      <c r="U718" s="8"/>
    </row>
    <row r="719" spans="1:21" ht="15" x14ac:dyDescent="0.25">
      <c r="A719" s="277" t="s">
        <v>142</v>
      </c>
      <c r="B719" s="236" t="s">
        <v>85</v>
      </c>
      <c r="C719" s="24"/>
      <c r="D719" s="24"/>
      <c r="E719" s="24"/>
      <c r="F719" s="24"/>
      <c r="G719" s="24"/>
      <c r="H719" s="24"/>
      <c r="K719" s="308" t="s">
        <v>85</v>
      </c>
      <c r="L719" s="40"/>
      <c r="M719" s="1"/>
      <c r="N719" s="8"/>
      <c r="O719" s="8"/>
      <c r="P719" s="8"/>
      <c r="Q719" s="8"/>
      <c r="R719" s="8"/>
      <c r="S719" s="8"/>
    </row>
    <row r="720" spans="1:21" ht="30" x14ac:dyDescent="0.25">
      <c r="A720" s="278" t="s">
        <v>144</v>
      </c>
      <c r="B720" s="236" t="s">
        <v>295</v>
      </c>
      <c r="C720" s="24"/>
      <c r="D720" s="24"/>
      <c r="E720" s="24"/>
      <c r="F720" s="24"/>
      <c r="G720" s="24"/>
      <c r="H720" s="231"/>
      <c r="K720" s="308" t="s">
        <v>85</v>
      </c>
      <c r="L720" s="40"/>
      <c r="M720" s="1"/>
    </row>
    <row r="721" spans="1:21" ht="27.6" customHeight="1" x14ac:dyDescent="0.25">
      <c r="A721" s="229" t="s">
        <v>121</v>
      </c>
      <c r="B721" s="403" t="s">
        <v>346</v>
      </c>
      <c r="C721" s="404"/>
      <c r="D721" s="404"/>
      <c r="E721" s="404"/>
      <c r="F721" s="404"/>
      <c r="G721" s="404"/>
      <c r="H721" s="24"/>
      <c r="K721" s="308" t="s">
        <v>85</v>
      </c>
      <c r="L721" s="40"/>
      <c r="M721" s="1"/>
    </row>
    <row r="722" spans="1:21" ht="15" thickBot="1" x14ac:dyDescent="0.25">
      <c r="A722" s="24"/>
      <c r="B722" s="236"/>
      <c r="C722" s="24"/>
      <c r="D722" s="24"/>
      <c r="E722" s="24"/>
      <c r="F722" s="24"/>
      <c r="G722" s="24"/>
      <c r="H722" s="24"/>
      <c r="K722" s="308" t="s">
        <v>85</v>
      </c>
      <c r="L722" s="40"/>
      <c r="M722" s="1"/>
    </row>
    <row r="723" spans="1:21" ht="15.75" thickBot="1" x14ac:dyDescent="0.3">
      <c r="A723" s="275" t="s">
        <v>347</v>
      </c>
      <c r="B723" s="401" t="s">
        <v>348</v>
      </c>
      <c r="C723" s="402"/>
      <c r="D723" s="402"/>
      <c r="E723" s="402"/>
      <c r="F723" s="402"/>
      <c r="G723" s="402"/>
      <c r="H723" s="402"/>
      <c r="K723" s="308" t="s">
        <v>85</v>
      </c>
      <c r="L723" s="40"/>
      <c r="M723" s="1"/>
    </row>
    <row r="724" spans="1:21" ht="15" x14ac:dyDescent="0.25">
      <c r="A724" s="229" t="s">
        <v>87</v>
      </c>
      <c r="B724" s="236" t="s">
        <v>95</v>
      </c>
      <c r="C724" s="24"/>
      <c r="D724" s="24"/>
      <c r="E724" s="24"/>
      <c r="F724" s="24"/>
      <c r="G724" s="24"/>
      <c r="H724" s="24"/>
      <c r="K724" s="308" t="s">
        <v>85</v>
      </c>
      <c r="L724" s="40"/>
      <c r="M724" s="1"/>
    </row>
    <row r="725" spans="1:21" ht="29.25" x14ac:dyDescent="0.25">
      <c r="A725" s="276"/>
      <c r="B725" s="237" t="str">
        <f>CONCATENATE($O$2&amp;": "&amp;VLOOKUP($B724,$N$4:$U$27,2,0))</f>
        <v>Font: Arial</v>
      </c>
      <c r="C725" s="19" t="str">
        <f>CONCATENATE($P$2&amp;": "&amp;VLOOKUP($B724,$N$4:$U$27,3,0))</f>
        <v>T-face: Normal</v>
      </c>
      <c r="D725" s="19" t="str">
        <f>CONCATENATE($Q$2&amp;": "&amp;VLOOKUP($B724,$N$4:$U$27,4,0))</f>
        <v>Font size: 11</v>
      </c>
      <c r="E725" s="19" t="str">
        <f>CONCATENATE($R$2&amp;": "&amp;VLOOKUP($B724,$N$4:$U$27,5,0))</f>
        <v>Row height: Dependant</v>
      </c>
      <c r="F725" s="19" t="str">
        <f>CONCATENATE($S$2&amp;": "&amp;VLOOKUP($B724,$N$4:$U$27,6,0))</f>
        <v>Text col: Black</v>
      </c>
      <c r="G725" s="19" t="str">
        <f>CONCATENATE($T$2&amp;": "&amp;VLOOKUP($B724,$N$4:$U$27,7,0))</f>
        <v>BG col: Light grey</v>
      </c>
      <c r="H725" s="19" t="str">
        <f>CONCATENATE($U$2&amp;": "&amp;VLOOKUP($B724,$N$4:$U$27,8,0))</f>
        <v>Just: Right</v>
      </c>
      <c r="K725" s="308" t="s">
        <v>85</v>
      </c>
      <c r="L725" s="40"/>
      <c r="M725" s="1"/>
    </row>
    <row r="726" spans="1:21" ht="15" x14ac:dyDescent="0.25">
      <c r="A726" s="229" t="s">
        <v>99</v>
      </c>
      <c r="B726" s="236" t="s">
        <v>246</v>
      </c>
      <c r="C726" s="24"/>
      <c r="D726" s="24"/>
      <c r="E726" s="24"/>
      <c r="F726" s="24"/>
      <c r="G726" s="24"/>
      <c r="H726" s="24"/>
      <c r="K726" s="308" t="s">
        <v>85</v>
      </c>
      <c r="L726" s="40"/>
      <c r="M726" s="1"/>
    </row>
    <row r="727" spans="1:21" ht="15" x14ac:dyDescent="0.25">
      <c r="A727" s="229" t="s">
        <v>102</v>
      </c>
      <c r="B727" s="253">
        <f>'Borrowing expenses'!E37</f>
        <v>0</v>
      </c>
      <c r="C727" s="24"/>
      <c r="D727" s="24"/>
      <c r="E727" s="24"/>
      <c r="F727" s="24"/>
      <c r="G727" s="24"/>
      <c r="H727" s="24"/>
      <c r="K727" s="308" t="s">
        <v>151</v>
      </c>
      <c r="L727" s="40"/>
      <c r="M727" s="1"/>
    </row>
    <row r="728" spans="1:21" ht="15" x14ac:dyDescent="0.25">
      <c r="A728" s="277" t="s">
        <v>247</v>
      </c>
      <c r="B728" s="242" t="s">
        <v>349</v>
      </c>
      <c r="C728" s="24"/>
      <c r="D728" s="24"/>
      <c r="E728" s="24"/>
      <c r="F728" s="24"/>
      <c r="G728" s="24"/>
      <c r="H728" s="24"/>
      <c r="K728" s="308" t="s">
        <v>85</v>
      </c>
      <c r="L728" s="40"/>
      <c r="M728" s="1"/>
      <c r="T728"/>
      <c r="U728"/>
    </row>
    <row r="729" spans="1:21" ht="15" x14ac:dyDescent="0.25">
      <c r="A729" s="277" t="s">
        <v>87</v>
      </c>
      <c r="B729" s="403" t="s">
        <v>265</v>
      </c>
      <c r="C729" s="404"/>
      <c r="D729" s="404"/>
      <c r="E729" s="404"/>
      <c r="F729" s="404"/>
      <c r="G729" s="404"/>
      <c r="H729" s="24"/>
      <c r="K729" s="308" t="s">
        <v>85</v>
      </c>
      <c r="L729" s="40"/>
      <c r="M729" s="1"/>
      <c r="N729" s="23"/>
      <c r="O729" s="23"/>
      <c r="P729" s="23"/>
      <c r="Q729" s="23"/>
      <c r="R729" s="23"/>
      <c r="S729" s="23"/>
    </row>
    <row r="730" spans="1:21" ht="15" x14ac:dyDescent="0.25">
      <c r="A730" s="277" t="s">
        <v>110</v>
      </c>
      <c r="B730" s="236">
        <v>0</v>
      </c>
      <c r="C730" s="24"/>
      <c r="D730" s="24"/>
      <c r="E730" s="24"/>
      <c r="F730" s="24"/>
      <c r="G730" s="24"/>
      <c r="H730" s="24"/>
      <c r="K730" s="308" t="s">
        <v>151</v>
      </c>
      <c r="L730" s="40"/>
      <c r="M730" s="1"/>
    </row>
    <row r="731" spans="1:21" ht="15" x14ac:dyDescent="0.25">
      <c r="A731" s="277" t="s">
        <v>138</v>
      </c>
      <c r="B731" s="244">
        <f>'Borrowing expenses'!$E$27*0.05</f>
        <v>0</v>
      </c>
      <c r="C731" s="24"/>
      <c r="D731" s="24"/>
      <c r="E731" s="24"/>
      <c r="F731" s="24"/>
      <c r="G731" s="24"/>
      <c r="H731" s="24"/>
      <c r="K731" s="308" t="s">
        <v>151</v>
      </c>
      <c r="L731" s="40"/>
      <c r="M731" s="1"/>
    </row>
    <row r="732" spans="1:21" ht="14.1" customHeight="1" x14ac:dyDescent="0.25">
      <c r="A732" s="277" t="s">
        <v>140</v>
      </c>
      <c r="B732" s="405" t="s">
        <v>341</v>
      </c>
      <c r="C732" s="406"/>
      <c r="D732" s="406"/>
      <c r="E732" s="406"/>
      <c r="F732" s="406"/>
      <c r="G732" s="406"/>
      <c r="H732" s="24"/>
      <c r="K732" s="308" t="s">
        <v>85</v>
      </c>
      <c r="L732" s="40"/>
      <c r="M732" s="1"/>
    </row>
    <row r="733" spans="1:21" ht="15" x14ac:dyDescent="0.25">
      <c r="A733" s="277" t="s">
        <v>142</v>
      </c>
      <c r="B733" s="236" t="s">
        <v>85</v>
      </c>
      <c r="C733" s="24"/>
      <c r="D733" s="24"/>
      <c r="E733" s="24"/>
      <c r="F733" s="24"/>
      <c r="G733" s="24"/>
      <c r="H733" s="24"/>
      <c r="K733" s="308" t="s">
        <v>85</v>
      </c>
      <c r="L733" s="40"/>
      <c r="M733" s="1"/>
    </row>
    <row r="734" spans="1:21" ht="30" x14ac:dyDescent="0.25">
      <c r="A734" s="278" t="s">
        <v>144</v>
      </c>
      <c r="B734" s="236" t="str">
        <f>IF(B724=$N$5,"Yes","No")</f>
        <v>Yes</v>
      </c>
      <c r="C734" s="24"/>
      <c r="D734" s="24"/>
      <c r="E734" s="24"/>
      <c r="F734" s="24"/>
      <c r="G734" s="24"/>
      <c r="H734" s="231"/>
      <c r="K734" s="308" t="s">
        <v>85</v>
      </c>
      <c r="L734" s="40"/>
      <c r="M734" s="1"/>
    </row>
    <row r="735" spans="1:21" ht="15" x14ac:dyDescent="0.25">
      <c r="A735" s="229" t="s">
        <v>121</v>
      </c>
      <c r="B735" s="403" t="s">
        <v>266</v>
      </c>
      <c r="C735" s="404"/>
      <c r="D735" s="404"/>
      <c r="E735" s="404"/>
      <c r="F735" s="404"/>
      <c r="G735" s="404"/>
      <c r="H735" s="24"/>
      <c r="K735" s="308" t="s">
        <v>85</v>
      </c>
      <c r="L735" s="40"/>
      <c r="M735" s="1"/>
    </row>
    <row r="736" spans="1:21" ht="15" thickBot="1" x14ac:dyDescent="0.25">
      <c r="A736" s="24"/>
      <c r="B736" s="236"/>
      <c r="C736" s="24"/>
      <c r="D736" s="24"/>
      <c r="E736" s="24"/>
      <c r="F736" s="24"/>
      <c r="G736" s="24"/>
      <c r="H736" s="24"/>
      <c r="K736" s="308" t="s">
        <v>85</v>
      </c>
      <c r="L736" s="40"/>
      <c r="M736" s="1"/>
    </row>
    <row r="737" spans="1:21" ht="15.75" thickBot="1" x14ac:dyDescent="0.3">
      <c r="A737" s="275" t="s">
        <v>350</v>
      </c>
      <c r="B737" s="401" t="s">
        <v>351</v>
      </c>
      <c r="C737" s="402"/>
      <c r="D737" s="402"/>
      <c r="E737" s="402"/>
      <c r="F737" s="402"/>
      <c r="G737" s="402"/>
      <c r="H737" s="402"/>
      <c r="K737" s="308" t="s">
        <v>85</v>
      </c>
      <c r="L737" s="40"/>
      <c r="M737" s="1"/>
    </row>
    <row r="738" spans="1:21" ht="15" x14ac:dyDescent="0.25">
      <c r="A738" s="229" t="s">
        <v>87</v>
      </c>
      <c r="B738" s="236" t="s">
        <v>124</v>
      </c>
      <c r="C738" s="24"/>
      <c r="D738" s="24"/>
      <c r="E738" s="24"/>
      <c r="F738" s="24"/>
      <c r="G738" s="24"/>
      <c r="H738" s="24"/>
      <c r="K738" s="308" t="s">
        <v>85</v>
      </c>
      <c r="L738" s="40"/>
      <c r="M738" s="1"/>
    </row>
    <row r="739" spans="1:21" s="8" customFormat="1" ht="29.25" x14ac:dyDescent="0.25">
      <c r="A739" s="276"/>
      <c r="B739" s="237" t="str">
        <f>CONCATENATE($O$2&amp;": "&amp;VLOOKUP($B738,$N$4:$U$27,2,0))</f>
        <v>Font: Arial</v>
      </c>
      <c r="C739" s="19" t="str">
        <f>CONCATENATE($P$2&amp;": "&amp;VLOOKUP($B738,$N$4:$U$27,3,0))</f>
        <v>T-face: Normal</v>
      </c>
      <c r="D739" s="19" t="str">
        <f>CONCATENATE($Q$2&amp;": "&amp;VLOOKUP($B738,$N$4:$U$27,4,0))</f>
        <v>Font size: 11</v>
      </c>
      <c r="E739" s="19" t="str">
        <f>CONCATENATE($R$2&amp;": "&amp;VLOOKUP($B738,$N$4:$U$27,5,0))</f>
        <v>Row height: 26.5</v>
      </c>
      <c r="F739" s="19" t="str">
        <f>CONCATENATE($S$2&amp;": "&amp;VLOOKUP($B738,$N$4:$U$27,6,0))</f>
        <v>Text col: Black</v>
      </c>
      <c r="G739" s="19" t="str">
        <f>CONCATENATE($T$2&amp;": "&amp;VLOOKUP($B738,$N$4:$U$27,7,0))</f>
        <v>BG col: White</v>
      </c>
      <c r="H739" s="19" t="str">
        <f>CONCATENATE($U$2&amp;": "&amp;VLOOKUP($B738,$N$4:$U$27,8,0))</f>
        <v>Just: Left</v>
      </c>
      <c r="I739" s="37"/>
      <c r="J739" s="2"/>
      <c r="K739" s="308" t="s">
        <v>85</v>
      </c>
      <c r="L739" s="40"/>
      <c r="M739" s="1"/>
      <c r="N739" s="2"/>
      <c r="O739" s="2"/>
      <c r="P739" s="2"/>
      <c r="Q739" s="2"/>
      <c r="R739" s="2"/>
      <c r="S739" s="2"/>
      <c r="T739" s="2"/>
      <c r="U739" s="2"/>
    </row>
    <row r="740" spans="1:21" ht="15" x14ac:dyDescent="0.25">
      <c r="A740" s="229" t="s">
        <v>99</v>
      </c>
      <c r="B740" s="236" t="s">
        <v>240</v>
      </c>
      <c r="C740" s="24"/>
      <c r="D740" s="24"/>
      <c r="E740" s="24"/>
      <c r="F740" s="24"/>
      <c r="G740" s="24"/>
      <c r="H740" s="24"/>
      <c r="K740" s="308" t="s">
        <v>85</v>
      </c>
      <c r="L740" s="40"/>
      <c r="M740" s="1"/>
    </row>
    <row r="741" spans="1:21" ht="15" x14ac:dyDescent="0.25">
      <c r="A741" s="229" t="s">
        <v>102</v>
      </c>
      <c r="B741" s="415" t="s">
        <v>352</v>
      </c>
      <c r="C741" s="416"/>
      <c r="D741" s="416"/>
      <c r="E741" s="416"/>
      <c r="F741" s="416"/>
      <c r="G741" s="416"/>
      <c r="H741" s="24"/>
      <c r="K741" s="308" t="s">
        <v>151</v>
      </c>
      <c r="L741" s="40"/>
      <c r="M741" s="1"/>
    </row>
    <row r="742" spans="1:21" ht="15" x14ac:dyDescent="0.25">
      <c r="A742" s="277" t="s">
        <v>104</v>
      </c>
      <c r="B742" s="236" t="s">
        <v>242</v>
      </c>
      <c r="C742" s="24"/>
      <c r="D742" s="24"/>
      <c r="E742" s="24"/>
      <c r="F742" s="24"/>
      <c r="G742" s="24"/>
      <c r="H742" s="24"/>
      <c r="K742" s="308" t="s">
        <v>85</v>
      </c>
      <c r="L742" s="40"/>
      <c r="M742" s="1"/>
    </row>
    <row r="743" spans="1:21" ht="15" x14ac:dyDescent="0.25">
      <c r="A743" s="277" t="s">
        <v>87</v>
      </c>
      <c r="B743" s="403" t="s">
        <v>155</v>
      </c>
      <c r="C743" s="404"/>
      <c r="D743" s="404"/>
      <c r="E743" s="404"/>
      <c r="F743" s="404"/>
      <c r="G743" s="404"/>
      <c r="H743" s="24"/>
      <c r="K743" s="308" t="s">
        <v>85</v>
      </c>
      <c r="L743" s="40"/>
      <c r="M743" s="1"/>
      <c r="T743"/>
      <c r="U743"/>
    </row>
    <row r="744" spans="1:21" ht="15" x14ac:dyDescent="0.25">
      <c r="A744" s="277" t="s">
        <v>110</v>
      </c>
      <c r="B744" s="236" t="s">
        <v>85</v>
      </c>
      <c r="C744" s="24"/>
      <c r="D744" s="24"/>
      <c r="E744" s="24"/>
      <c r="F744" s="24"/>
      <c r="G744" s="24"/>
      <c r="H744" s="24"/>
      <c r="K744" s="308" t="s">
        <v>85</v>
      </c>
      <c r="L744" s="40"/>
      <c r="M744" s="1"/>
    </row>
    <row r="745" spans="1:21" ht="15" x14ac:dyDescent="0.25">
      <c r="A745" s="277" t="s">
        <v>138</v>
      </c>
      <c r="B745" s="236" t="s">
        <v>85</v>
      </c>
      <c r="C745" s="24"/>
      <c r="D745" s="24"/>
      <c r="E745" s="24"/>
      <c r="F745" s="24"/>
      <c r="G745" s="24"/>
      <c r="H745" s="24"/>
      <c r="K745" s="308" t="s">
        <v>85</v>
      </c>
      <c r="L745" s="40"/>
      <c r="M745" s="1"/>
    </row>
    <row r="746" spans="1:21" ht="15" x14ac:dyDescent="0.25">
      <c r="A746" s="277" t="s">
        <v>140</v>
      </c>
      <c r="B746" s="236" t="s">
        <v>85</v>
      </c>
      <c r="C746" s="24"/>
      <c r="D746" s="24"/>
      <c r="E746" s="24"/>
      <c r="F746" s="24"/>
      <c r="G746" s="24"/>
      <c r="H746" s="24"/>
      <c r="K746" s="308" t="s">
        <v>85</v>
      </c>
      <c r="L746" s="40"/>
      <c r="M746" s="1"/>
      <c r="T746" s="8"/>
      <c r="U746" s="8"/>
    </row>
    <row r="747" spans="1:21" ht="15" x14ac:dyDescent="0.25">
      <c r="A747" s="277" t="s">
        <v>142</v>
      </c>
      <c r="B747" s="236" t="s">
        <v>85</v>
      </c>
      <c r="C747" s="24"/>
      <c r="D747" s="24"/>
      <c r="E747" s="24"/>
      <c r="F747" s="24"/>
      <c r="G747" s="24"/>
      <c r="H747" s="24"/>
      <c r="K747" s="308" t="s">
        <v>85</v>
      </c>
      <c r="L747" s="40"/>
      <c r="M747" s="1"/>
      <c r="N747" s="8"/>
      <c r="O747" s="8"/>
      <c r="P747" s="8"/>
      <c r="Q747" s="8"/>
      <c r="R747" s="8"/>
      <c r="S747" s="8"/>
    </row>
    <row r="748" spans="1:21" ht="30" x14ac:dyDescent="0.25">
      <c r="A748" s="278" t="s">
        <v>144</v>
      </c>
      <c r="B748" s="236" t="s">
        <v>295</v>
      </c>
      <c r="C748" s="24"/>
      <c r="D748" s="24"/>
      <c r="E748" s="24"/>
      <c r="F748" s="24"/>
      <c r="G748" s="24"/>
      <c r="H748" s="231"/>
      <c r="K748" s="308" t="s">
        <v>85</v>
      </c>
      <c r="L748" s="40"/>
      <c r="M748" s="1"/>
    </row>
    <row r="749" spans="1:21" ht="15" x14ac:dyDescent="0.25">
      <c r="A749" s="229" t="s">
        <v>121</v>
      </c>
      <c r="B749" s="403" t="s">
        <v>353</v>
      </c>
      <c r="C749" s="404"/>
      <c r="D749" s="404"/>
      <c r="E749" s="404"/>
      <c r="F749" s="404"/>
      <c r="G749" s="404"/>
      <c r="H749" s="24"/>
      <c r="K749" s="308" t="s">
        <v>85</v>
      </c>
      <c r="L749" s="40"/>
      <c r="M749" s="1"/>
    </row>
    <row r="750" spans="1:21" ht="15" thickBot="1" x14ac:dyDescent="0.25">
      <c r="A750" s="24"/>
      <c r="B750" s="236"/>
      <c r="C750" s="24"/>
      <c r="D750" s="24"/>
      <c r="E750" s="24"/>
      <c r="F750" s="24"/>
      <c r="G750" s="24"/>
      <c r="H750" s="24"/>
      <c r="K750" s="308" t="s">
        <v>85</v>
      </c>
      <c r="L750" s="40"/>
      <c r="M750" s="1"/>
    </row>
    <row r="751" spans="1:21" ht="15.75" thickBot="1" x14ac:dyDescent="0.3">
      <c r="A751" s="275" t="s">
        <v>354</v>
      </c>
      <c r="B751" s="401" t="s">
        <v>355</v>
      </c>
      <c r="C751" s="402"/>
      <c r="D751" s="402"/>
      <c r="E751" s="402"/>
      <c r="F751" s="402"/>
      <c r="G751" s="402"/>
      <c r="H751" s="402"/>
      <c r="K751" s="308" t="s">
        <v>85</v>
      </c>
      <c r="L751" s="40"/>
      <c r="M751" s="1"/>
    </row>
    <row r="752" spans="1:21" ht="15" x14ac:dyDescent="0.25">
      <c r="A752" s="229" t="s">
        <v>87</v>
      </c>
      <c r="B752" s="236" t="s">
        <v>95</v>
      </c>
      <c r="C752" s="24"/>
      <c r="D752" s="24"/>
      <c r="E752" s="24"/>
      <c r="F752" s="24"/>
      <c r="G752" s="24"/>
      <c r="H752" s="24"/>
      <c r="K752" s="308" t="s">
        <v>85</v>
      </c>
      <c r="L752" s="40"/>
      <c r="M752" s="1"/>
    </row>
    <row r="753" spans="1:21" ht="29.25" x14ac:dyDescent="0.25">
      <c r="A753" s="276"/>
      <c r="B753" s="237" t="str">
        <f>CONCATENATE($O$2&amp;": "&amp;VLOOKUP($B752,$N$4:$U$27,2,0))</f>
        <v>Font: Arial</v>
      </c>
      <c r="C753" s="19" t="str">
        <f>CONCATENATE($P$2&amp;": "&amp;VLOOKUP($B752,$N$4:$U$27,3,0))</f>
        <v>T-face: Normal</v>
      </c>
      <c r="D753" s="19" t="str">
        <f>CONCATENATE($Q$2&amp;": "&amp;VLOOKUP($B752,$N$4:$U$27,4,0))</f>
        <v>Font size: 11</v>
      </c>
      <c r="E753" s="19" t="str">
        <f>CONCATENATE($R$2&amp;": "&amp;VLOOKUP($B752,$N$4:$U$27,5,0))</f>
        <v>Row height: Dependant</v>
      </c>
      <c r="F753" s="19" t="str">
        <f>CONCATENATE($S$2&amp;": "&amp;VLOOKUP($B752,$N$4:$U$27,6,0))</f>
        <v>Text col: Black</v>
      </c>
      <c r="G753" s="19" t="str">
        <f>CONCATENATE($T$2&amp;": "&amp;VLOOKUP($B752,$N$4:$U$27,7,0))</f>
        <v>BG col: Light grey</v>
      </c>
      <c r="H753" s="19" t="str">
        <f>CONCATENATE($U$2&amp;": "&amp;VLOOKUP($B752,$N$4:$U$27,8,0))</f>
        <v>Just: Right</v>
      </c>
      <c r="K753" s="308" t="s">
        <v>85</v>
      </c>
      <c r="L753" s="40"/>
      <c r="M753" s="1"/>
    </row>
    <row r="754" spans="1:21" ht="15" x14ac:dyDescent="0.25">
      <c r="A754" s="229" t="s">
        <v>99</v>
      </c>
      <c r="B754" s="236" t="s">
        <v>246</v>
      </c>
      <c r="C754" s="24"/>
      <c r="D754" s="24"/>
      <c r="E754" s="24"/>
      <c r="F754" s="24"/>
      <c r="G754" s="24"/>
      <c r="H754" s="24"/>
      <c r="K754" s="308" t="s">
        <v>85</v>
      </c>
      <c r="L754" s="40"/>
      <c r="M754" s="1"/>
    </row>
    <row r="755" spans="1:21" ht="15" x14ac:dyDescent="0.25">
      <c r="A755" s="229" t="s">
        <v>102</v>
      </c>
      <c r="B755" s="253">
        <f>'Borrowing expenses'!E38</f>
        <v>0</v>
      </c>
      <c r="C755" s="24"/>
      <c r="D755" s="24"/>
      <c r="E755" s="24"/>
      <c r="F755" s="24"/>
      <c r="G755" s="24"/>
      <c r="H755" s="24"/>
      <c r="K755" s="308" t="s">
        <v>151</v>
      </c>
      <c r="L755" s="40"/>
      <c r="M755" s="1"/>
    </row>
    <row r="756" spans="1:21" ht="15" x14ac:dyDescent="0.25">
      <c r="A756" s="277" t="s">
        <v>247</v>
      </c>
      <c r="B756" s="242" t="s">
        <v>349</v>
      </c>
      <c r="C756" s="24"/>
      <c r="D756" s="24"/>
      <c r="E756" s="24"/>
      <c r="F756" s="24"/>
      <c r="G756" s="24"/>
      <c r="H756" s="24"/>
      <c r="K756" s="308" t="s">
        <v>85</v>
      </c>
      <c r="L756" s="40"/>
      <c r="M756" s="1"/>
      <c r="T756"/>
      <c r="U756"/>
    </row>
    <row r="757" spans="1:21" ht="15" x14ac:dyDescent="0.25">
      <c r="A757" s="277" t="s">
        <v>87</v>
      </c>
      <c r="B757" s="403" t="s">
        <v>265</v>
      </c>
      <c r="C757" s="404"/>
      <c r="D757" s="404"/>
      <c r="E757" s="404"/>
      <c r="F757" s="404"/>
      <c r="G757" s="404"/>
      <c r="H757" s="24"/>
      <c r="K757" s="308" t="s">
        <v>85</v>
      </c>
      <c r="L757" s="40"/>
      <c r="M757" s="1"/>
      <c r="N757" s="23"/>
      <c r="O757" s="23"/>
      <c r="P757" s="23"/>
      <c r="Q757" s="23"/>
      <c r="R757" s="23"/>
      <c r="S757" s="23"/>
    </row>
    <row r="758" spans="1:21" ht="15" x14ac:dyDescent="0.25">
      <c r="A758" s="277" t="s">
        <v>110</v>
      </c>
      <c r="B758" s="236">
        <v>0</v>
      </c>
      <c r="C758" s="24"/>
      <c r="D758" s="24"/>
      <c r="E758" s="24"/>
      <c r="F758" s="24"/>
      <c r="G758" s="24"/>
      <c r="H758" s="24"/>
      <c r="K758" s="308" t="s">
        <v>151</v>
      </c>
      <c r="L758" s="40"/>
      <c r="M758" s="1"/>
    </row>
    <row r="759" spans="1:21" ht="15" x14ac:dyDescent="0.25">
      <c r="A759" s="277" t="s">
        <v>138</v>
      </c>
      <c r="B759" s="244">
        <v>500</v>
      </c>
      <c r="C759" s="24"/>
      <c r="D759" s="24"/>
      <c r="E759" s="24"/>
      <c r="F759" s="24"/>
      <c r="G759" s="24"/>
      <c r="H759" s="24"/>
      <c r="K759" s="308" t="s">
        <v>151</v>
      </c>
      <c r="L759" s="40"/>
      <c r="M759" s="1"/>
    </row>
    <row r="760" spans="1:21" ht="14.1" customHeight="1" x14ac:dyDescent="0.25">
      <c r="A760" s="277" t="s">
        <v>140</v>
      </c>
      <c r="B760" s="405" t="s">
        <v>341</v>
      </c>
      <c r="C760" s="406"/>
      <c r="D760" s="406"/>
      <c r="E760" s="406"/>
      <c r="F760" s="406"/>
      <c r="G760" s="406"/>
      <c r="H760" s="24"/>
      <c r="K760" s="308" t="s">
        <v>85</v>
      </c>
      <c r="L760" s="40"/>
      <c r="M760" s="1"/>
    </row>
    <row r="761" spans="1:21" ht="15" x14ac:dyDescent="0.25">
      <c r="A761" s="277" t="s">
        <v>142</v>
      </c>
      <c r="B761" s="236" t="s">
        <v>85</v>
      </c>
      <c r="C761" s="24"/>
      <c r="D761" s="24"/>
      <c r="E761" s="24"/>
      <c r="F761" s="24"/>
      <c r="G761" s="24"/>
      <c r="H761" s="24"/>
      <c r="K761" s="308" t="s">
        <v>85</v>
      </c>
      <c r="L761" s="40"/>
      <c r="M761" s="1"/>
    </row>
    <row r="762" spans="1:21" ht="30" x14ac:dyDescent="0.25">
      <c r="A762" s="278" t="s">
        <v>144</v>
      </c>
      <c r="B762" s="236" t="str">
        <f>IF(B752=$N$5,"Yes","No")</f>
        <v>Yes</v>
      </c>
      <c r="C762" s="24"/>
      <c r="D762" s="24"/>
      <c r="E762" s="24"/>
      <c r="F762" s="24"/>
      <c r="G762" s="24"/>
      <c r="H762" s="231"/>
      <c r="K762" s="308" t="s">
        <v>85</v>
      </c>
      <c r="L762" s="40"/>
      <c r="M762" s="1"/>
    </row>
    <row r="763" spans="1:21" ht="15" x14ac:dyDescent="0.25">
      <c r="A763" s="229" t="s">
        <v>121</v>
      </c>
      <c r="B763" s="403" t="s">
        <v>266</v>
      </c>
      <c r="C763" s="404"/>
      <c r="D763" s="404"/>
      <c r="E763" s="404"/>
      <c r="F763" s="404"/>
      <c r="G763" s="404"/>
      <c r="H763" s="24"/>
      <c r="K763" s="308" t="s">
        <v>85</v>
      </c>
      <c r="L763" s="40"/>
      <c r="M763" s="1"/>
    </row>
    <row r="764" spans="1:21" ht="15" thickBot="1" x14ac:dyDescent="0.25">
      <c r="A764" s="24"/>
      <c r="B764" s="236"/>
      <c r="C764" s="24"/>
      <c r="D764" s="24"/>
      <c r="E764" s="24"/>
      <c r="F764" s="24"/>
      <c r="G764" s="24"/>
      <c r="H764" s="24"/>
      <c r="K764" s="308" t="s">
        <v>85</v>
      </c>
      <c r="L764" s="40"/>
      <c r="M764" s="1"/>
    </row>
    <row r="765" spans="1:21" ht="15.75" thickBot="1" x14ac:dyDescent="0.3">
      <c r="A765" s="275" t="s">
        <v>356</v>
      </c>
      <c r="B765" s="401" t="s">
        <v>357</v>
      </c>
      <c r="C765" s="402"/>
      <c r="D765" s="402"/>
      <c r="E765" s="402"/>
      <c r="F765" s="402"/>
      <c r="G765" s="402"/>
      <c r="H765" s="402"/>
      <c r="K765" s="308" t="s">
        <v>85</v>
      </c>
      <c r="L765" s="40"/>
      <c r="M765" s="1"/>
    </row>
    <row r="766" spans="1:21" ht="15" x14ac:dyDescent="0.25">
      <c r="A766" s="229" t="s">
        <v>87</v>
      </c>
      <c r="B766" s="236" t="s">
        <v>124</v>
      </c>
      <c r="C766" s="24"/>
      <c r="D766" s="24"/>
      <c r="E766" s="24"/>
      <c r="F766" s="24"/>
      <c r="G766" s="24"/>
      <c r="H766" s="24"/>
      <c r="K766" s="308" t="s">
        <v>85</v>
      </c>
      <c r="L766" s="40"/>
      <c r="M766" s="1"/>
    </row>
    <row r="767" spans="1:21" s="8" customFormat="1" ht="29.25" x14ac:dyDescent="0.25">
      <c r="A767" s="276"/>
      <c r="B767" s="237" t="str">
        <f>CONCATENATE($O$2&amp;": "&amp;VLOOKUP($B766,$N$4:$U$27,2,0))</f>
        <v>Font: Arial</v>
      </c>
      <c r="C767" s="19" t="str">
        <f>CONCATENATE($P$2&amp;": "&amp;VLOOKUP($B766,$N$4:$U$27,3,0))</f>
        <v>T-face: Normal</v>
      </c>
      <c r="D767" s="19" t="str">
        <f>CONCATENATE($Q$2&amp;": "&amp;VLOOKUP($B766,$N$4:$U$27,4,0))</f>
        <v>Font size: 11</v>
      </c>
      <c r="E767" s="19" t="str">
        <f>CONCATENATE($R$2&amp;": "&amp;VLOOKUP($B766,$N$4:$U$27,5,0))</f>
        <v>Row height: 26.5</v>
      </c>
      <c r="F767" s="19" t="str">
        <f>CONCATENATE($S$2&amp;": "&amp;VLOOKUP($B766,$N$4:$U$27,6,0))</f>
        <v>Text col: Black</v>
      </c>
      <c r="G767" s="19" t="str">
        <f>CONCATENATE($T$2&amp;": "&amp;VLOOKUP($B766,$N$4:$U$27,7,0))</f>
        <v>BG col: White</v>
      </c>
      <c r="H767" s="19" t="str">
        <f>CONCATENATE($U$2&amp;": "&amp;VLOOKUP($B766,$N$4:$U$27,8,0))</f>
        <v>Just: Left</v>
      </c>
      <c r="I767" s="37"/>
      <c r="J767" s="2"/>
      <c r="K767" s="308" t="s">
        <v>85</v>
      </c>
      <c r="L767" s="40"/>
      <c r="M767" s="1"/>
      <c r="N767" s="2"/>
      <c r="O767" s="2"/>
      <c r="P767" s="2"/>
      <c r="Q767" s="2"/>
      <c r="R767" s="2"/>
      <c r="S767" s="2"/>
      <c r="T767" s="2"/>
      <c r="U767" s="2"/>
    </row>
    <row r="768" spans="1:21" ht="15" x14ac:dyDescent="0.25">
      <c r="A768" s="229" t="s">
        <v>99</v>
      </c>
      <c r="B768" s="236" t="s">
        <v>240</v>
      </c>
      <c r="C768" s="24"/>
      <c r="D768" s="24"/>
      <c r="E768" s="24"/>
      <c r="F768" s="24"/>
      <c r="G768" s="24"/>
      <c r="H768" s="24"/>
      <c r="J768" s="8"/>
      <c r="K768" s="308" t="s">
        <v>85</v>
      </c>
      <c r="L768" s="40"/>
      <c r="M768" s="1"/>
    </row>
    <row r="769" spans="1:21" ht="15" x14ac:dyDescent="0.25">
      <c r="A769" s="229" t="s">
        <v>102</v>
      </c>
      <c r="B769" s="238" t="s">
        <v>358</v>
      </c>
      <c r="C769" s="39"/>
      <c r="D769" s="39"/>
      <c r="E769" s="39"/>
      <c r="F769" s="39"/>
      <c r="G769" s="39"/>
      <c r="H769" s="24"/>
      <c r="K769" s="308" t="s">
        <v>151</v>
      </c>
      <c r="L769" s="40"/>
      <c r="M769" s="1"/>
    </row>
    <row r="770" spans="1:21" ht="15" x14ac:dyDescent="0.25">
      <c r="A770" s="277" t="s">
        <v>104</v>
      </c>
      <c r="B770" s="236" t="s">
        <v>242</v>
      </c>
      <c r="C770" s="24"/>
      <c r="D770" s="24"/>
      <c r="E770" s="24"/>
      <c r="F770" s="24"/>
      <c r="G770" s="24"/>
      <c r="H770" s="24"/>
      <c r="K770" s="308" t="s">
        <v>85</v>
      </c>
      <c r="L770" s="40"/>
      <c r="M770" s="1"/>
    </row>
    <row r="771" spans="1:21" ht="15" x14ac:dyDescent="0.25">
      <c r="A771" s="277" t="s">
        <v>87</v>
      </c>
      <c r="B771" s="403" t="s">
        <v>155</v>
      </c>
      <c r="C771" s="404"/>
      <c r="D771" s="404"/>
      <c r="E771" s="404"/>
      <c r="F771" s="404"/>
      <c r="G771" s="404"/>
      <c r="H771" s="24"/>
      <c r="K771" s="308" t="s">
        <v>85</v>
      </c>
      <c r="L771" s="40"/>
      <c r="M771" s="1"/>
      <c r="T771"/>
      <c r="U771"/>
    </row>
    <row r="772" spans="1:21" ht="15" x14ac:dyDescent="0.25">
      <c r="A772" s="277" t="s">
        <v>110</v>
      </c>
      <c r="B772" s="236" t="s">
        <v>85</v>
      </c>
      <c r="C772" s="24"/>
      <c r="D772" s="24"/>
      <c r="E772" s="24"/>
      <c r="F772" s="24"/>
      <c r="G772" s="24"/>
      <c r="H772" s="24"/>
      <c r="K772" s="308" t="s">
        <v>85</v>
      </c>
      <c r="L772" s="40"/>
      <c r="M772" s="1"/>
      <c r="N772" s="23"/>
      <c r="O772" s="23"/>
      <c r="P772" s="23"/>
      <c r="Q772" s="23"/>
      <c r="R772" s="23"/>
      <c r="S772" s="23"/>
    </row>
    <row r="773" spans="1:21" ht="15" x14ac:dyDescent="0.25">
      <c r="A773" s="277" t="s">
        <v>138</v>
      </c>
      <c r="B773" s="236" t="s">
        <v>85</v>
      </c>
      <c r="C773" s="24"/>
      <c r="D773" s="24"/>
      <c r="E773" s="24"/>
      <c r="F773" s="24"/>
      <c r="G773" s="24"/>
      <c r="H773" s="24"/>
      <c r="K773" s="308" t="s">
        <v>85</v>
      </c>
      <c r="L773" s="40"/>
      <c r="M773" s="1"/>
    </row>
    <row r="774" spans="1:21" ht="15" x14ac:dyDescent="0.25">
      <c r="A774" s="277" t="s">
        <v>140</v>
      </c>
      <c r="B774" s="236" t="s">
        <v>85</v>
      </c>
      <c r="C774" s="24"/>
      <c r="D774" s="24"/>
      <c r="E774" s="24"/>
      <c r="F774" s="24"/>
      <c r="G774" s="24"/>
      <c r="H774" s="24"/>
      <c r="K774" s="308" t="s">
        <v>85</v>
      </c>
      <c r="L774" s="40"/>
      <c r="M774" s="1"/>
    </row>
    <row r="775" spans="1:21" ht="15" x14ac:dyDescent="0.25">
      <c r="A775" s="277" t="s">
        <v>142</v>
      </c>
      <c r="B775" s="236" t="s">
        <v>85</v>
      </c>
      <c r="C775" s="24"/>
      <c r="D775" s="24"/>
      <c r="E775" s="24"/>
      <c r="F775" s="24"/>
      <c r="G775" s="24"/>
      <c r="H775" s="24"/>
      <c r="K775" s="308" t="s">
        <v>85</v>
      </c>
      <c r="L775" s="40"/>
      <c r="M775" s="1"/>
    </row>
    <row r="776" spans="1:21" customFormat="1" ht="30" x14ac:dyDescent="0.25">
      <c r="A776" s="278" t="s">
        <v>144</v>
      </c>
      <c r="B776" s="236" t="str">
        <f>IF(B766=$N$5,"Yes","No")</f>
        <v>No</v>
      </c>
      <c r="C776" s="24"/>
      <c r="D776" s="24"/>
      <c r="E776" s="24"/>
      <c r="F776" s="24"/>
      <c r="G776" s="24"/>
      <c r="H776" s="231"/>
      <c r="I776" s="35"/>
      <c r="J776" s="2"/>
      <c r="K776" s="308" t="s">
        <v>85</v>
      </c>
      <c r="L776" s="40"/>
      <c r="M776" s="1"/>
      <c r="N776" s="2"/>
      <c r="O776" s="2"/>
      <c r="P776" s="2"/>
      <c r="Q776" s="2"/>
      <c r="R776" s="2"/>
      <c r="S776" s="2"/>
      <c r="T776" s="8"/>
      <c r="U776" s="8"/>
    </row>
    <row r="777" spans="1:21" ht="15" x14ac:dyDescent="0.25">
      <c r="A777" s="229" t="s">
        <v>121</v>
      </c>
      <c r="B777" s="403" t="s">
        <v>359</v>
      </c>
      <c r="C777" s="404"/>
      <c r="D777" s="404"/>
      <c r="E777" s="404"/>
      <c r="F777" s="404"/>
      <c r="G777" s="404"/>
      <c r="H777" s="24"/>
      <c r="J777" s="22"/>
      <c r="K777" s="308" t="s">
        <v>85</v>
      </c>
      <c r="L777" s="40"/>
      <c r="M777" s="1"/>
      <c r="N777" s="8"/>
      <c r="O777" s="8"/>
      <c r="P777" s="8"/>
      <c r="Q777" s="8"/>
      <c r="R777" s="8"/>
      <c r="S777" s="8"/>
    </row>
    <row r="778" spans="1:21" ht="15" thickBot="1" x14ac:dyDescent="0.25">
      <c r="A778" s="24"/>
      <c r="B778" s="236"/>
      <c r="C778" s="24"/>
      <c r="D778" s="24"/>
      <c r="E778" s="24"/>
      <c r="F778" s="24"/>
      <c r="G778" s="24"/>
      <c r="H778" s="24"/>
      <c r="K778" s="308" t="s">
        <v>85</v>
      </c>
      <c r="L778" s="40"/>
      <c r="M778" s="1"/>
    </row>
    <row r="779" spans="1:21" ht="15.75" thickBot="1" x14ac:dyDescent="0.3">
      <c r="A779" s="275" t="s">
        <v>354</v>
      </c>
      <c r="B779" s="401" t="s">
        <v>360</v>
      </c>
      <c r="C779" s="402"/>
      <c r="D779" s="402"/>
      <c r="E779" s="402"/>
      <c r="F779" s="402"/>
      <c r="G779" s="402"/>
      <c r="H779" s="402"/>
      <c r="K779" s="308" t="s">
        <v>85</v>
      </c>
      <c r="L779" s="40"/>
      <c r="M779" s="1"/>
    </row>
    <row r="780" spans="1:21" ht="15" x14ac:dyDescent="0.25">
      <c r="A780" s="229" t="s">
        <v>87</v>
      </c>
      <c r="B780" s="236" t="s">
        <v>95</v>
      </c>
      <c r="C780" s="24"/>
      <c r="D780" s="24"/>
      <c r="E780" s="24"/>
      <c r="F780" s="24"/>
      <c r="G780" s="24"/>
      <c r="H780" s="24"/>
      <c r="K780" s="308" t="s">
        <v>85</v>
      </c>
      <c r="L780" s="40"/>
      <c r="M780" s="1"/>
    </row>
    <row r="781" spans="1:21" ht="29.25" x14ac:dyDescent="0.25">
      <c r="A781" s="276"/>
      <c r="B781" s="237" t="str">
        <f>CONCATENATE($O$2&amp;": "&amp;VLOOKUP($B780,$N$4:$U$27,2,0))</f>
        <v>Font: Arial</v>
      </c>
      <c r="C781" s="19" t="str">
        <f>CONCATENATE($P$2&amp;": "&amp;VLOOKUP($B780,$N$4:$U$27,3,0))</f>
        <v>T-face: Normal</v>
      </c>
      <c r="D781" s="19" t="str">
        <f>CONCATENATE($Q$2&amp;": "&amp;VLOOKUP($B780,$N$4:$U$27,4,0))</f>
        <v>Font size: 11</v>
      </c>
      <c r="E781" s="19" t="str">
        <f>CONCATENATE($R$2&amp;": "&amp;VLOOKUP($B780,$N$4:$U$27,5,0))</f>
        <v>Row height: Dependant</v>
      </c>
      <c r="F781" s="19" t="str">
        <f>CONCATENATE($S$2&amp;": "&amp;VLOOKUP($B780,$N$4:$U$27,6,0))</f>
        <v>Text col: Black</v>
      </c>
      <c r="G781" s="19" t="str">
        <f>CONCATENATE($T$2&amp;": "&amp;VLOOKUP($B780,$N$4:$U$27,7,0))</f>
        <v>BG col: Light grey</v>
      </c>
      <c r="H781" s="19" t="str">
        <f>CONCATENATE($U$2&amp;": "&amp;VLOOKUP($B780,$N$4:$U$27,8,0))</f>
        <v>Just: Right</v>
      </c>
      <c r="K781" s="308" t="s">
        <v>85</v>
      </c>
      <c r="L781" s="40"/>
      <c r="M781" s="1"/>
    </row>
    <row r="782" spans="1:21" ht="15" x14ac:dyDescent="0.25">
      <c r="A782" s="229" t="s">
        <v>99</v>
      </c>
      <c r="B782" s="236" t="s">
        <v>246</v>
      </c>
      <c r="C782" s="24"/>
      <c r="D782" s="24"/>
      <c r="E782" s="24"/>
      <c r="F782" s="24"/>
      <c r="G782" s="24"/>
      <c r="H782" s="24"/>
      <c r="K782" s="308" t="s">
        <v>85</v>
      </c>
      <c r="L782" s="40"/>
      <c r="M782" s="1"/>
    </row>
    <row r="783" spans="1:21" ht="15" x14ac:dyDescent="0.25">
      <c r="A783" s="229" t="s">
        <v>102</v>
      </c>
      <c r="B783" s="253">
        <f>'Borrowing expenses'!E39</f>
        <v>0</v>
      </c>
      <c r="C783" s="24"/>
      <c r="D783" s="24"/>
      <c r="E783" s="24"/>
      <c r="F783" s="24"/>
      <c r="G783" s="24"/>
      <c r="H783" s="24"/>
      <c r="K783" s="308" t="s">
        <v>151</v>
      </c>
      <c r="L783" s="40"/>
      <c r="M783" s="1"/>
    </row>
    <row r="784" spans="1:21" ht="15" x14ac:dyDescent="0.25">
      <c r="A784" s="277" t="s">
        <v>247</v>
      </c>
      <c r="B784" s="242" t="s">
        <v>349</v>
      </c>
      <c r="C784" s="24"/>
      <c r="D784" s="24"/>
      <c r="E784" s="24"/>
      <c r="F784" s="24"/>
      <c r="G784" s="24"/>
      <c r="H784" s="24"/>
      <c r="K784" s="308" t="s">
        <v>85</v>
      </c>
      <c r="L784" s="40"/>
      <c r="M784" s="1"/>
      <c r="T784"/>
      <c r="U784"/>
    </row>
    <row r="785" spans="1:21" ht="15" x14ac:dyDescent="0.25">
      <c r="A785" s="277" t="s">
        <v>87</v>
      </c>
      <c r="B785" s="403" t="s">
        <v>265</v>
      </c>
      <c r="C785" s="404"/>
      <c r="D785" s="404"/>
      <c r="E785" s="404"/>
      <c r="F785" s="404"/>
      <c r="G785" s="404"/>
      <c r="H785" s="24"/>
      <c r="K785" s="308" t="s">
        <v>85</v>
      </c>
      <c r="L785" s="40"/>
      <c r="M785" s="1"/>
      <c r="N785" s="23"/>
      <c r="O785" s="23"/>
      <c r="P785" s="23"/>
      <c r="Q785" s="23"/>
      <c r="R785" s="23"/>
      <c r="S785" s="23"/>
    </row>
    <row r="786" spans="1:21" ht="15" x14ac:dyDescent="0.25">
      <c r="A786" s="277" t="s">
        <v>110</v>
      </c>
      <c r="B786" s="236">
        <v>0</v>
      </c>
      <c r="C786" s="24"/>
      <c r="D786" s="24"/>
      <c r="E786" s="24"/>
      <c r="F786" s="24"/>
      <c r="G786" s="24"/>
      <c r="H786" s="24"/>
      <c r="K786" s="308" t="s">
        <v>151</v>
      </c>
      <c r="L786" s="40"/>
      <c r="M786" s="1"/>
    </row>
    <row r="787" spans="1:21" ht="15" x14ac:dyDescent="0.25">
      <c r="A787" s="277" t="s">
        <v>138</v>
      </c>
      <c r="B787" s="244">
        <v>500</v>
      </c>
      <c r="C787" s="24"/>
      <c r="D787" s="24"/>
      <c r="E787" s="24"/>
      <c r="F787" s="24"/>
      <c r="G787" s="24"/>
      <c r="H787" s="24"/>
      <c r="K787" s="308" t="s">
        <v>151</v>
      </c>
      <c r="L787" s="40"/>
      <c r="M787" s="1"/>
    </row>
    <row r="788" spans="1:21" ht="14.1" customHeight="1" x14ac:dyDescent="0.25">
      <c r="A788" s="277" t="s">
        <v>140</v>
      </c>
      <c r="B788" s="405" t="s">
        <v>341</v>
      </c>
      <c r="C788" s="406"/>
      <c r="D788" s="406"/>
      <c r="E788" s="406"/>
      <c r="F788" s="406"/>
      <c r="G788" s="406"/>
      <c r="H788" s="24"/>
      <c r="K788" s="308" t="s">
        <v>85</v>
      </c>
      <c r="L788" s="40"/>
      <c r="M788" s="1"/>
    </row>
    <row r="789" spans="1:21" ht="15" x14ac:dyDescent="0.25">
      <c r="A789" s="277" t="s">
        <v>142</v>
      </c>
      <c r="B789" s="236" t="s">
        <v>85</v>
      </c>
      <c r="C789" s="24"/>
      <c r="D789" s="24"/>
      <c r="E789" s="24"/>
      <c r="F789" s="24"/>
      <c r="G789" s="24"/>
      <c r="H789" s="24"/>
      <c r="K789" s="308" t="s">
        <v>85</v>
      </c>
      <c r="L789" s="40"/>
      <c r="M789" s="1"/>
    </row>
    <row r="790" spans="1:21" ht="30" x14ac:dyDescent="0.25">
      <c r="A790" s="278" t="s">
        <v>144</v>
      </c>
      <c r="B790" s="236" t="str">
        <f>IF(B780=$N$5,"Yes","No")</f>
        <v>Yes</v>
      </c>
      <c r="C790" s="24"/>
      <c r="D790" s="24"/>
      <c r="E790" s="24"/>
      <c r="F790" s="24"/>
      <c r="G790" s="24"/>
      <c r="H790" s="231"/>
      <c r="K790" s="308" t="s">
        <v>85</v>
      </c>
      <c r="L790" s="40"/>
      <c r="M790" s="1"/>
    </row>
    <row r="791" spans="1:21" ht="15" x14ac:dyDescent="0.25">
      <c r="A791" s="229" t="s">
        <v>121</v>
      </c>
      <c r="B791" s="403" t="s">
        <v>266</v>
      </c>
      <c r="C791" s="404"/>
      <c r="D791" s="404"/>
      <c r="E791" s="404"/>
      <c r="F791" s="404"/>
      <c r="G791" s="404"/>
      <c r="H791" s="24"/>
      <c r="K791" s="308" t="s">
        <v>85</v>
      </c>
      <c r="L791" s="40"/>
      <c r="M791" s="1"/>
    </row>
    <row r="792" spans="1:21" ht="15" thickBot="1" x14ac:dyDescent="0.25">
      <c r="A792" s="24"/>
      <c r="B792" s="236"/>
      <c r="C792" s="24"/>
      <c r="D792" s="24"/>
      <c r="E792" s="24"/>
      <c r="F792" s="24"/>
      <c r="G792" s="24"/>
      <c r="H792" s="24"/>
      <c r="K792" s="308" t="s">
        <v>85</v>
      </c>
      <c r="L792" s="40"/>
      <c r="M792" s="1"/>
    </row>
    <row r="793" spans="1:21" ht="15.75" thickBot="1" x14ac:dyDescent="0.3">
      <c r="A793" s="275" t="s">
        <v>361</v>
      </c>
      <c r="B793" s="401" t="s">
        <v>362</v>
      </c>
      <c r="C793" s="402"/>
      <c r="D793" s="402"/>
      <c r="E793" s="402"/>
      <c r="F793" s="402"/>
      <c r="G793" s="402"/>
      <c r="H793" s="402"/>
      <c r="K793" s="308" t="s">
        <v>85</v>
      </c>
      <c r="L793" s="40"/>
      <c r="M793" s="1"/>
    </row>
    <row r="794" spans="1:21" ht="15" x14ac:dyDescent="0.25">
      <c r="A794" s="229" t="s">
        <v>87</v>
      </c>
      <c r="B794" s="236" t="s">
        <v>124</v>
      </c>
      <c r="C794" s="24"/>
      <c r="D794" s="24"/>
      <c r="E794" s="24"/>
      <c r="F794" s="24"/>
      <c r="G794" s="24"/>
      <c r="H794" s="24"/>
      <c r="K794" s="308" t="s">
        <v>85</v>
      </c>
      <c r="L794" s="40"/>
      <c r="M794" s="1"/>
    </row>
    <row r="795" spans="1:21" s="8" customFormat="1" ht="29.25" x14ac:dyDescent="0.25">
      <c r="A795" s="276"/>
      <c r="B795" s="237" t="str">
        <f>CONCATENATE($O$2&amp;": "&amp;VLOOKUP($B794,$N$4:$U$27,2,0))</f>
        <v>Font: Arial</v>
      </c>
      <c r="C795" s="19" t="str">
        <f>CONCATENATE($P$2&amp;": "&amp;VLOOKUP($B794,$N$4:$U$27,3,0))</f>
        <v>T-face: Normal</v>
      </c>
      <c r="D795" s="19" t="str">
        <f>CONCATENATE($Q$2&amp;": "&amp;VLOOKUP($B794,$N$4:$U$27,4,0))</f>
        <v>Font size: 11</v>
      </c>
      <c r="E795" s="19" t="str">
        <f>CONCATENATE($R$2&amp;": "&amp;VLOOKUP($B794,$N$4:$U$27,5,0))</f>
        <v>Row height: 26.5</v>
      </c>
      <c r="F795" s="19" t="str">
        <f>CONCATENATE($S$2&amp;": "&amp;VLOOKUP($B794,$N$4:$U$27,6,0))</f>
        <v>Text col: Black</v>
      </c>
      <c r="G795" s="19" t="str">
        <f>CONCATENATE($T$2&amp;": "&amp;VLOOKUP($B794,$N$4:$U$27,7,0))</f>
        <v>BG col: White</v>
      </c>
      <c r="H795" s="19" t="str">
        <f>CONCATENATE($U$2&amp;": "&amp;VLOOKUP($B794,$N$4:$U$27,8,0))</f>
        <v>Just: Left</v>
      </c>
      <c r="I795" s="37"/>
      <c r="J795" s="2"/>
      <c r="K795" s="308" t="s">
        <v>85</v>
      </c>
      <c r="L795" s="40"/>
      <c r="M795" s="1"/>
      <c r="N795" s="2"/>
      <c r="O795" s="2"/>
      <c r="P795" s="2"/>
      <c r="Q795" s="2"/>
      <c r="R795" s="2"/>
      <c r="S795" s="2"/>
      <c r="T795" s="2"/>
      <c r="U795" s="2"/>
    </row>
    <row r="796" spans="1:21" ht="15" x14ac:dyDescent="0.25">
      <c r="A796" s="229" t="s">
        <v>99</v>
      </c>
      <c r="B796" s="236" t="s">
        <v>240</v>
      </c>
      <c r="C796" s="24"/>
      <c r="D796" s="24"/>
      <c r="E796" s="24"/>
      <c r="F796" s="24"/>
      <c r="G796" s="24"/>
      <c r="H796" s="24"/>
      <c r="J796" s="8"/>
      <c r="K796" s="308" t="s">
        <v>85</v>
      </c>
      <c r="L796" s="40"/>
      <c r="M796" s="1"/>
    </row>
    <row r="797" spans="1:21" ht="15" x14ac:dyDescent="0.25">
      <c r="A797" s="229" t="s">
        <v>102</v>
      </c>
      <c r="B797" s="238" t="s">
        <v>363</v>
      </c>
      <c r="C797" s="39"/>
      <c r="D797" s="39"/>
      <c r="E797" s="39"/>
      <c r="F797" s="39"/>
      <c r="G797" s="39"/>
      <c r="H797" s="24"/>
      <c r="K797" s="308" t="s">
        <v>151</v>
      </c>
      <c r="L797" s="40"/>
      <c r="M797" s="1"/>
    </row>
    <row r="798" spans="1:21" ht="15" x14ac:dyDescent="0.25">
      <c r="A798" s="277" t="s">
        <v>104</v>
      </c>
      <c r="B798" s="236" t="s">
        <v>242</v>
      </c>
      <c r="C798" s="24"/>
      <c r="D798" s="24"/>
      <c r="E798" s="24"/>
      <c r="F798" s="24"/>
      <c r="G798" s="24"/>
      <c r="H798" s="24"/>
      <c r="K798" s="308" t="s">
        <v>85</v>
      </c>
      <c r="L798" s="40"/>
      <c r="M798" s="1"/>
    </row>
    <row r="799" spans="1:21" ht="15" x14ac:dyDescent="0.25">
      <c r="A799" s="277" t="s">
        <v>87</v>
      </c>
      <c r="B799" s="403" t="s">
        <v>155</v>
      </c>
      <c r="C799" s="404"/>
      <c r="D799" s="404"/>
      <c r="E799" s="404"/>
      <c r="F799" s="404"/>
      <c r="G799" s="404"/>
      <c r="H799" s="24"/>
      <c r="K799" s="308" t="s">
        <v>85</v>
      </c>
      <c r="L799" s="40"/>
      <c r="M799" s="1"/>
      <c r="T799"/>
      <c r="U799"/>
    </row>
    <row r="800" spans="1:21" ht="15" x14ac:dyDescent="0.25">
      <c r="A800" s="277" t="s">
        <v>110</v>
      </c>
      <c r="B800" s="236" t="s">
        <v>85</v>
      </c>
      <c r="C800" s="24"/>
      <c r="D800" s="24"/>
      <c r="E800" s="24"/>
      <c r="F800" s="24"/>
      <c r="G800" s="24"/>
      <c r="H800" s="24"/>
      <c r="K800" s="308" t="s">
        <v>85</v>
      </c>
      <c r="L800" s="40"/>
      <c r="M800" s="1"/>
      <c r="N800" s="23"/>
      <c r="O800" s="23"/>
      <c r="P800" s="23"/>
      <c r="Q800" s="23"/>
      <c r="R800" s="23"/>
      <c r="S800" s="23"/>
    </row>
    <row r="801" spans="1:21" ht="15" x14ac:dyDescent="0.25">
      <c r="A801" s="277" t="s">
        <v>138</v>
      </c>
      <c r="B801" s="236" t="s">
        <v>85</v>
      </c>
      <c r="C801" s="24"/>
      <c r="D801" s="24"/>
      <c r="E801" s="24"/>
      <c r="F801" s="24"/>
      <c r="G801" s="24"/>
      <c r="H801" s="24"/>
      <c r="K801" s="308" t="s">
        <v>85</v>
      </c>
      <c r="L801" s="40"/>
      <c r="M801" s="1"/>
    </row>
    <row r="802" spans="1:21" ht="15" x14ac:dyDescent="0.25">
      <c r="A802" s="277" t="s">
        <v>140</v>
      </c>
      <c r="B802" s="236" t="s">
        <v>85</v>
      </c>
      <c r="C802" s="24"/>
      <c r="D802" s="24"/>
      <c r="E802" s="24"/>
      <c r="F802" s="24"/>
      <c r="G802" s="24"/>
      <c r="H802" s="24"/>
      <c r="K802" s="308" t="s">
        <v>85</v>
      </c>
      <c r="L802" s="40"/>
      <c r="M802" s="1"/>
    </row>
    <row r="803" spans="1:21" ht="15" x14ac:dyDescent="0.25">
      <c r="A803" s="277" t="s">
        <v>142</v>
      </c>
      <c r="B803" s="236" t="s">
        <v>85</v>
      </c>
      <c r="C803" s="24"/>
      <c r="D803" s="24"/>
      <c r="E803" s="24"/>
      <c r="F803" s="24"/>
      <c r="G803" s="24"/>
      <c r="H803" s="24"/>
      <c r="K803" s="308" t="s">
        <v>85</v>
      </c>
      <c r="L803" s="40"/>
      <c r="M803" s="1"/>
    </row>
    <row r="804" spans="1:21" customFormat="1" ht="30" x14ac:dyDescent="0.25">
      <c r="A804" s="278" t="s">
        <v>144</v>
      </c>
      <c r="B804" s="236" t="str">
        <f>IF(B794=$N$5,"Yes","No")</f>
        <v>No</v>
      </c>
      <c r="C804" s="24"/>
      <c r="D804" s="24"/>
      <c r="E804" s="24"/>
      <c r="F804" s="24"/>
      <c r="G804" s="24"/>
      <c r="H804" s="231"/>
      <c r="I804" s="35"/>
      <c r="J804" s="2"/>
      <c r="K804" s="308" t="s">
        <v>85</v>
      </c>
      <c r="L804" s="40"/>
      <c r="M804" s="1"/>
      <c r="N804" s="2"/>
      <c r="O804" s="2"/>
      <c r="P804" s="2"/>
      <c r="Q804" s="2"/>
      <c r="R804" s="2"/>
      <c r="S804" s="2"/>
      <c r="T804" s="8"/>
      <c r="U804" s="8"/>
    </row>
    <row r="805" spans="1:21" ht="15" x14ac:dyDescent="0.25">
      <c r="A805" s="229" t="s">
        <v>121</v>
      </c>
      <c r="B805" s="403" t="s">
        <v>364</v>
      </c>
      <c r="C805" s="404"/>
      <c r="D805" s="404"/>
      <c r="E805" s="404"/>
      <c r="F805" s="404"/>
      <c r="G805" s="404"/>
      <c r="H805" s="24"/>
      <c r="J805" s="22"/>
      <c r="K805" s="308" t="s">
        <v>85</v>
      </c>
      <c r="L805" s="40"/>
      <c r="M805" s="1"/>
      <c r="N805" s="8"/>
      <c r="O805" s="8"/>
      <c r="P805" s="8"/>
      <c r="Q805" s="8"/>
      <c r="R805" s="8"/>
      <c r="S805" s="8"/>
    </row>
    <row r="806" spans="1:21" ht="15" thickBot="1" x14ac:dyDescent="0.25">
      <c r="A806" s="24"/>
      <c r="B806" s="236"/>
      <c r="C806" s="24"/>
      <c r="D806" s="24"/>
      <c r="E806" s="24"/>
      <c r="F806" s="24"/>
      <c r="G806" s="24"/>
      <c r="H806" s="24"/>
      <c r="K806" s="308" t="s">
        <v>85</v>
      </c>
      <c r="L806" s="40"/>
      <c r="M806" s="1"/>
    </row>
    <row r="807" spans="1:21" ht="15.75" thickBot="1" x14ac:dyDescent="0.3">
      <c r="A807" s="275" t="s">
        <v>365</v>
      </c>
      <c r="B807" s="401" t="s">
        <v>366</v>
      </c>
      <c r="C807" s="402"/>
      <c r="D807" s="402"/>
      <c r="E807" s="402"/>
      <c r="F807" s="402"/>
      <c r="G807" s="402"/>
      <c r="H807" s="402"/>
      <c r="K807" s="308" t="s">
        <v>85</v>
      </c>
      <c r="L807" s="40"/>
      <c r="M807" s="1"/>
    </row>
    <row r="808" spans="1:21" ht="15" x14ac:dyDescent="0.25">
      <c r="A808" s="229" t="s">
        <v>87</v>
      </c>
      <c r="B808" s="236" t="s">
        <v>95</v>
      </c>
      <c r="C808" s="24"/>
      <c r="D808" s="24"/>
      <c r="E808" s="24"/>
      <c r="F808" s="24"/>
      <c r="G808" s="24"/>
      <c r="H808" s="24"/>
      <c r="K808" s="308" t="s">
        <v>85</v>
      </c>
      <c r="L808" s="40"/>
      <c r="M808" s="1"/>
    </row>
    <row r="809" spans="1:21" ht="29.25" x14ac:dyDescent="0.25">
      <c r="A809" s="276"/>
      <c r="B809" s="237" t="str">
        <f>CONCATENATE($O$2&amp;": "&amp;VLOOKUP($B808,$N$4:$U$27,2,0))</f>
        <v>Font: Arial</v>
      </c>
      <c r="C809" s="19" t="str">
        <f>CONCATENATE($P$2&amp;": "&amp;VLOOKUP($B808,$N$4:$U$27,3,0))</f>
        <v>T-face: Normal</v>
      </c>
      <c r="D809" s="19" t="str">
        <f>CONCATENATE($Q$2&amp;": "&amp;VLOOKUP($B808,$N$4:$U$27,4,0))</f>
        <v>Font size: 11</v>
      </c>
      <c r="E809" s="19" t="str">
        <f>CONCATENATE($R$2&amp;": "&amp;VLOOKUP($B808,$N$4:$U$27,5,0))</f>
        <v>Row height: Dependant</v>
      </c>
      <c r="F809" s="19" t="str">
        <f>CONCATENATE($S$2&amp;": "&amp;VLOOKUP($B808,$N$4:$U$27,6,0))</f>
        <v>Text col: Black</v>
      </c>
      <c r="G809" s="19" t="str">
        <f>CONCATENATE($T$2&amp;": "&amp;VLOOKUP($B808,$N$4:$U$27,7,0))</f>
        <v>BG col: Light grey</v>
      </c>
      <c r="H809" s="19" t="str">
        <f>CONCATENATE($U$2&amp;": "&amp;VLOOKUP($B808,$N$4:$U$27,8,0))</f>
        <v>Just: Right</v>
      </c>
      <c r="K809" s="308" t="s">
        <v>85</v>
      </c>
      <c r="L809" s="40"/>
      <c r="M809" s="1"/>
    </row>
    <row r="810" spans="1:21" ht="15" x14ac:dyDescent="0.25">
      <c r="A810" s="229" t="s">
        <v>99</v>
      </c>
      <c r="B810" s="236" t="s">
        <v>246</v>
      </c>
      <c r="C810" s="24"/>
      <c r="D810" s="24"/>
      <c r="E810" s="24"/>
      <c r="F810" s="24"/>
      <c r="G810" s="24"/>
      <c r="H810" s="24"/>
      <c r="K810" s="308" t="s">
        <v>85</v>
      </c>
      <c r="L810" s="40"/>
      <c r="M810" s="1"/>
    </row>
    <row r="811" spans="1:21" ht="15" x14ac:dyDescent="0.25">
      <c r="A811" s="229" t="s">
        <v>102</v>
      </c>
      <c r="B811" s="253">
        <f>'Borrowing expenses'!E40</f>
        <v>0</v>
      </c>
      <c r="C811" s="24"/>
      <c r="D811" s="24"/>
      <c r="E811" s="24"/>
      <c r="F811" s="24"/>
      <c r="G811" s="24"/>
      <c r="H811" s="24"/>
      <c r="K811" s="308" t="s">
        <v>151</v>
      </c>
      <c r="L811" s="40"/>
      <c r="M811" s="1"/>
    </row>
    <row r="812" spans="1:21" ht="15" x14ac:dyDescent="0.25">
      <c r="A812" s="277" t="s">
        <v>247</v>
      </c>
      <c r="B812" s="242" t="s">
        <v>349</v>
      </c>
      <c r="C812" s="24"/>
      <c r="D812" s="24"/>
      <c r="E812" s="24"/>
      <c r="F812" s="24"/>
      <c r="G812" s="24"/>
      <c r="H812" s="24"/>
      <c r="K812" s="308" t="s">
        <v>85</v>
      </c>
      <c r="L812" s="40"/>
      <c r="M812" s="1"/>
      <c r="T812"/>
      <c r="U812"/>
    </row>
    <row r="813" spans="1:21" ht="15" x14ac:dyDescent="0.25">
      <c r="A813" s="277" t="s">
        <v>87</v>
      </c>
      <c r="B813" s="403" t="s">
        <v>265</v>
      </c>
      <c r="C813" s="404"/>
      <c r="D813" s="404"/>
      <c r="E813" s="404"/>
      <c r="F813" s="404"/>
      <c r="G813" s="404"/>
      <c r="H813" s="24"/>
      <c r="K813" s="308" t="s">
        <v>85</v>
      </c>
      <c r="L813" s="40"/>
      <c r="M813" s="1"/>
      <c r="N813" s="23"/>
      <c r="O813" s="23"/>
      <c r="P813" s="23"/>
      <c r="Q813" s="23"/>
      <c r="R813" s="23"/>
      <c r="S813" s="23"/>
    </row>
    <row r="814" spans="1:21" ht="15" x14ac:dyDescent="0.25">
      <c r="A814" s="277" t="s">
        <v>110</v>
      </c>
      <c r="B814" s="236">
        <v>0</v>
      </c>
      <c r="C814" s="24"/>
      <c r="D814" s="24"/>
      <c r="E814" s="24"/>
      <c r="F814" s="24"/>
      <c r="G814" s="24"/>
      <c r="H814" s="24"/>
      <c r="K814" s="308" t="s">
        <v>151</v>
      </c>
      <c r="L814" s="40"/>
      <c r="M814" s="1"/>
    </row>
    <row r="815" spans="1:21" ht="15" x14ac:dyDescent="0.25">
      <c r="A815" s="277" t="s">
        <v>138</v>
      </c>
      <c r="B815" s="244">
        <v>500</v>
      </c>
      <c r="C815" s="24"/>
      <c r="D815" s="24"/>
      <c r="E815" s="24"/>
      <c r="F815" s="24"/>
      <c r="G815" s="24"/>
      <c r="H815" s="24"/>
      <c r="K815" s="308" t="s">
        <v>151</v>
      </c>
      <c r="L815" s="40"/>
      <c r="M815" s="1"/>
    </row>
    <row r="816" spans="1:21" ht="14.1" customHeight="1" x14ac:dyDescent="0.25">
      <c r="A816" s="277" t="s">
        <v>140</v>
      </c>
      <c r="B816" s="405" t="s">
        <v>341</v>
      </c>
      <c r="C816" s="406"/>
      <c r="D816" s="406"/>
      <c r="E816" s="406"/>
      <c r="F816" s="406"/>
      <c r="G816" s="406"/>
      <c r="H816" s="24"/>
      <c r="K816" s="308" t="s">
        <v>85</v>
      </c>
      <c r="L816" s="40"/>
      <c r="M816" s="1"/>
    </row>
    <row r="817" spans="1:21" ht="15" x14ac:dyDescent="0.25">
      <c r="A817" s="277" t="s">
        <v>142</v>
      </c>
      <c r="B817" s="236" t="s">
        <v>85</v>
      </c>
      <c r="C817" s="24"/>
      <c r="D817" s="24"/>
      <c r="E817" s="24"/>
      <c r="F817" s="24"/>
      <c r="G817" s="24"/>
      <c r="H817" s="24"/>
      <c r="K817" s="308" t="s">
        <v>85</v>
      </c>
      <c r="L817" s="40"/>
      <c r="M817" s="1"/>
    </row>
    <row r="818" spans="1:21" ht="30" x14ac:dyDescent="0.25">
      <c r="A818" s="278" t="s">
        <v>144</v>
      </c>
      <c r="B818" s="236" t="str">
        <f>IF(B808=$N$5,"Yes","No")</f>
        <v>Yes</v>
      </c>
      <c r="C818" s="24"/>
      <c r="D818" s="24"/>
      <c r="E818" s="24"/>
      <c r="F818" s="24"/>
      <c r="G818" s="24"/>
      <c r="H818" s="231"/>
      <c r="K818" s="308" t="s">
        <v>85</v>
      </c>
      <c r="L818" s="40"/>
      <c r="M818" s="1"/>
    </row>
    <row r="819" spans="1:21" ht="15" x14ac:dyDescent="0.25">
      <c r="A819" s="229" t="s">
        <v>121</v>
      </c>
      <c r="B819" s="403" t="s">
        <v>266</v>
      </c>
      <c r="C819" s="404"/>
      <c r="D819" s="404"/>
      <c r="E819" s="404"/>
      <c r="F819" s="404"/>
      <c r="G819" s="404"/>
      <c r="H819" s="24"/>
      <c r="K819" s="308" t="s">
        <v>85</v>
      </c>
      <c r="L819" s="40"/>
      <c r="M819" s="1"/>
    </row>
    <row r="820" spans="1:21" ht="15" thickBot="1" x14ac:dyDescent="0.25">
      <c r="A820" s="24"/>
      <c r="B820" s="236"/>
      <c r="C820" s="24"/>
      <c r="D820" s="24"/>
      <c r="E820" s="24"/>
      <c r="F820" s="24"/>
      <c r="G820" s="24"/>
      <c r="H820" s="24"/>
      <c r="K820" s="308" t="s">
        <v>85</v>
      </c>
      <c r="L820" s="40"/>
      <c r="M820" s="1"/>
    </row>
    <row r="821" spans="1:21" ht="15.75" thickBot="1" x14ac:dyDescent="0.3">
      <c r="A821" s="275" t="s">
        <v>367</v>
      </c>
      <c r="B821" s="401" t="s">
        <v>368</v>
      </c>
      <c r="C821" s="402"/>
      <c r="D821" s="402"/>
      <c r="E821" s="402"/>
      <c r="F821" s="402"/>
      <c r="G821" s="402"/>
      <c r="H821" s="402"/>
      <c r="K821" s="308" t="s">
        <v>85</v>
      </c>
      <c r="L821" s="40"/>
      <c r="M821" s="1"/>
    </row>
    <row r="822" spans="1:21" ht="15" x14ac:dyDescent="0.25">
      <c r="A822" s="229" t="s">
        <v>87</v>
      </c>
      <c r="B822" s="236" t="s">
        <v>124</v>
      </c>
      <c r="C822" s="24"/>
      <c r="D822" s="24"/>
      <c r="E822" s="24"/>
      <c r="F822" s="24"/>
      <c r="G822" s="24"/>
      <c r="H822" s="24"/>
      <c r="K822" s="308" t="s">
        <v>85</v>
      </c>
      <c r="L822" s="40"/>
      <c r="M822" s="1"/>
    </row>
    <row r="823" spans="1:21" s="8" customFormat="1" ht="29.25" x14ac:dyDescent="0.25">
      <c r="A823" s="276"/>
      <c r="B823" s="237" t="str">
        <f>CONCATENATE($O$2&amp;": "&amp;VLOOKUP($B822,$N$4:$U$27,2,0))</f>
        <v>Font: Arial</v>
      </c>
      <c r="C823" s="19" t="str">
        <f>CONCATENATE($P$2&amp;": "&amp;VLOOKUP($B822,$N$4:$U$27,3,0))</f>
        <v>T-face: Normal</v>
      </c>
      <c r="D823" s="19" t="str">
        <f>CONCATENATE($Q$2&amp;": "&amp;VLOOKUP($B822,$N$4:$U$27,4,0))</f>
        <v>Font size: 11</v>
      </c>
      <c r="E823" s="19" t="str">
        <f>CONCATENATE($R$2&amp;": "&amp;VLOOKUP($B822,$N$4:$U$27,5,0))</f>
        <v>Row height: 26.5</v>
      </c>
      <c r="F823" s="19" t="str">
        <f>CONCATENATE($S$2&amp;": "&amp;VLOOKUP($B822,$N$4:$U$27,6,0))</f>
        <v>Text col: Black</v>
      </c>
      <c r="G823" s="19" t="str">
        <f>CONCATENATE($T$2&amp;": "&amp;VLOOKUP($B822,$N$4:$U$27,7,0))</f>
        <v>BG col: White</v>
      </c>
      <c r="H823" s="19" t="str">
        <f>CONCATENATE($U$2&amp;": "&amp;VLOOKUP($B822,$N$4:$U$27,8,0))</f>
        <v>Just: Left</v>
      </c>
      <c r="I823" s="37"/>
      <c r="J823" s="2"/>
      <c r="K823" s="308" t="s">
        <v>85</v>
      </c>
      <c r="L823" s="40"/>
      <c r="M823" s="1"/>
      <c r="N823" s="2"/>
      <c r="O823" s="2"/>
      <c r="P823" s="2"/>
      <c r="Q823" s="2"/>
      <c r="R823" s="2"/>
      <c r="S823" s="2"/>
      <c r="T823" s="2"/>
      <c r="U823" s="2"/>
    </row>
    <row r="824" spans="1:21" ht="15" x14ac:dyDescent="0.25">
      <c r="A824" s="229" t="s">
        <v>99</v>
      </c>
      <c r="B824" s="236" t="s">
        <v>240</v>
      </c>
      <c r="C824" s="24"/>
      <c r="D824" s="24"/>
      <c r="E824" s="24"/>
      <c r="F824" s="24"/>
      <c r="G824" s="24"/>
      <c r="H824" s="24"/>
      <c r="J824" s="8"/>
      <c r="K824" s="308" t="s">
        <v>85</v>
      </c>
      <c r="L824" s="40"/>
      <c r="M824" s="1"/>
    </row>
    <row r="825" spans="1:21" ht="15" x14ac:dyDescent="0.25">
      <c r="A825" s="229" t="s">
        <v>102</v>
      </c>
      <c r="B825" s="238" t="s">
        <v>369</v>
      </c>
      <c r="C825" s="39"/>
      <c r="D825" s="39"/>
      <c r="E825" s="39"/>
      <c r="F825" s="39"/>
      <c r="G825" s="39"/>
      <c r="H825" s="24"/>
      <c r="K825" s="308" t="s">
        <v>151</v>
      </c>
      <c r="L825" s="40"/>
      <c r="M825" s="1"/>
    </row>
    <row r="826" spans="1:21" ht="15" x14ac:dyDescent="0.25">
      <c r="A826" s="277" t="s">
        <v>104</v>
      </c>
      <c r="B826" s="236" t="s">
        <v>242</v>
      </c>
      <c r="C826" s="24"/>
      <c r="D826" s="24"/>
      <c r="E826" s="24"/>
      <c r="F826" s="24"/>
      <c r="G826" s="24"/>
      <c r="H826" s="24"/>
      <c r="K826" s="308" t="s">
        <v>85</v>
      </c>
      <c r="L826" s="40"/>
      <c r="M826" s="1"/>
    </row>
    <row r="827" spans="1:21" ht="15" x14ac:dyDescent="0.25">
      <c r="A827" s="277" t="s">
        <v>87</v>
      </c>
      <c r="B827" s="403" t="s">
        <v>155</v>
      </c>
      <c r="C827" s="404"/>
      <c r="D827" s="404"/>
      <c r="E827" s="404"/>
      <c r="F827" s="404"/>
      <c r="G827" s="404"/>
      <c r="H827" s="24"/>
      <c r="K827" s="308" t="s">
        <v>85</v>
      </c>
      <c r="L827" s="40"/>
      <c r="M827" s="1"/>
      <c r="T827"/>
      <c r="U827"/>
    </row>
    <row r="828" spans="1:21" ht="15" x14ac:dyDescent="0.25">
      <c r="A828" s="277" t="s">
        <v>110</v>
      </c>
      <c r="B828" s="236" t="s">
        <v>85</v>
      </c>
      <c r="C828" s="24"/>
      <c r="D828" s="24"/>
      <c r="E828" s="24"/>
      <c r="F828" s="24"/>
      <c r="G828" s="24"/>
      <c r="H828" s="24"/>
      <c r="K828" s="308" t="s">
        <v>85</v>
      </c>
      <c r="L828" s="40"/>
      <c r="M828" s="1"/>
      <c r="N828" s="23"/>
      <c r="O828" s="23"/>
      <c r="P828" s="23"/>
      <c r="Q828" s="23"/>
      <c r="R828" s="23"/>
      <c r="S828" s="23"/>
    </row>
    <row r="829" spans="1:21" ht="15" x14ac:dyDescent="0.25">
      <c r="A829" s="277" t="s">
        <v>138</v>
      </c>
      <c r="B829" s="236" t="s">
        <v>85</v>
      </c>
      <c r="C829" s="24"/>
      <c r="D829" s="24"/>
      <c r="E829" s="24"/>
      <c r="F829" s="24"/>
      <c r="G829" s="24"/>
      <c r="H829" s="24"/>
      <c r="K829" s="308" t="s">
        <v>85</v>
      </c>
      <c r="L829" s="40"/>
      <c r="M829" s="1"/>
    </row>
    <row r="830" spans="1:21" ht="15" x14ac:dyDescent="0.25">
      <c r="A830" s="277" t="s">
        <v>140</v>
      </c>
      <c r="B830" s="236" t="s">
        <v>85</v>
      </c>
      <c r="C830" s="24"/>
      <c r="D830" s="24"/>
      <c r="E830" s="24"/>
      <c r="F830" s="24"/>
      <c r="G830" s="24"/>
      <c r="H830" s="24"/>
      <c r="K830" s="308" t="s">
        <v>85</v>
      </c>
      <c r="L830" s="40"/>
      <c r="M830" s="1"/>
    </row>
    <row r="831" spans="1:21" ht="15" x14ac:dyDescent="0.25">
      <c r="A831" s="277" t="s">
        <v>142</v>
      </c>
      <c r="B831" s="236" t="s">
        <v>85</v>
      </c>
      <c r="C831" s="24"/>
      <c r="D831" s="24"/>
      <c r="E831" s="24"/>
      <c r="F831" s="24"/>
      <c r="G831" s="24"/>
      <c r="H831" s="24"/>
      <c r="K831" s="308" t="s">
        <v>85</v>
      </c>
      <c r="L831" s="40"/>
      <c r="M831" s="1"/>
    </row>
    <row r="832" spans="1:21" customFormat="1" ht="30" x14ac:dyDescent="0.25">
      <c r="A832" s="278" t="s">
        <v>144</v>
      </c>
      <c r="B832" s="236" t="str">
        <f>IF(B822=$N$5,"Yes","No")</f>
        <v>No</v>
      </c>
      <c r="C832" s="24"/>
      <c r="D832" s="24"/>
      <c r="E832" s="24"/>
      <c r="F832" s="24"/>
      <c r="G832" s="24"/>
      <c r="H832" s="231"/>
      <c r="I832" s="35"/>
      <c r="J832" s="2"/>
      <c r="K832" s="308" t="s">
        <v>85</v>
      </c>
      <c r="L832" s="40"/>
      <c r="M832" s="1"/>
      <c r="N832" s="2"/>
      <c r="O832" s="2"/>
      <c r="P832" s="2"/>
      <c r="Q832" s="2"/>
      <c r="R832" s="2"/>
      <c r="S832" s="2"/>
      <c r="T832" s="8"/>
      <c r="U832" s="8"/>
    </row>
    <row r="833" spans="1:21" ht="15" x14ac:dyDescent="0.25">
      <c r="A833" s="229" t="s">
        <v>121</v>
      </c>
      <c r="B833" s="403" t="s">
        <v>370</v>
      </c>
      <c r="C833" s="404"/>
      <c r="D833" s="404"/>
      <c r="E833" s="404"/>
      <c r="F833" s="404"/>
      <c r="G833" s="404"/>
      <c r="H833" s="24"/>
      <c r="J833" s="22"/>
      <c r="K833" s="308" t="s">
        <v>85</v>
      </c>
      <c r="L833" s="40"/>
      <c r="M833" s="1"/>
      <c r="N833" s="8"/>
      <c r="O833" s="8"/>
      <c r="P833" s="8"/>
      <c r="Q833" s="8"/>
      <c r="R833" s="8"/>
      <c r="S833" s="8"/>
    </row>
    <row r="834" spans="1:21" ht="15" thickBot="1" x14ac:dyDescent="0.25">
      <c r="A834" s="24"/>
      <c r="B834" s="236"/>
      <c r="C834" s="24"/>
      <c r="D834" s="24"/>
      <c r="E834" s="24"/>
      <c r="F834" s="24"/>
      <c r="G834" s="24"/>
      <c r="H834" s="24"/>
      <c r="K834" s="308" t="s">
        <v>85</v>
      </c>
      <c r="L834" s="40"/>
      <c r="M834" s="1"/>
    </row>
    <row r="835" spans="1:21" ht="15.75" thickBot="1" x14ac:dyDescent="0.3">
      <c r="A835" s="275" t="s">
        <v>371</v>
      </c>
      <c r="B835" s="401" t="s">
        <v>372</v>
      </c>
      <c r="C835" s="402"/>
      <c r="D835" s="402"/>
      <c r="E835" s="402"/>
      <c r="F835" s="402"/>
      <c r="G835" s="402"/>
      <c r="H835" s="402"/>
      <c r="K835" s="308" t="s">
        <v>85</v>
      </c>
      <c r="L835" s="40"/>
      <c r="M835" s="1"/>
    </row>
    <row r="836" spans="1:21" ht="15" x14ac:dyDescent="0.25">
      <c r="A836" s="229" t="s">
        <v>87</v>
      </c>
      <c r="B836" s="236" t="s">
        <v>95</v>
      </c>
      <c r="C836" s="24"/>
      <c r="D836" s="24"/>
      <c r="E836" s="24"/>
      <c r="F836" s="24"/>
      <c r="G836" s="24"/>
      <c r="H836" s="24"/>
      <c r="K836" s="308" t="s">
        <v>85</v>
      </c>
      <c r="L836" s="40"/>
      <c r="M836" s="1"/>
    </row>
    <row r="837" spans="1:21" ht="29.25" x14ac:dyDescent="0.25">
      <c r="A837" s="276"/>
      <c r="B837" s="237" t="str">
        <f>CONCATENATE($O$2&amp;": "&amp;VLOOKUP($B836,$N$4:$U$27,2,0))</f>
        <v>Font: Arial</v>
      </c>
      <c r="C837" s="19" t="str">
        <f>CONCATENATE($P$2&amp;": "&amp;VLOOKUP($B836,$N$4:$U$27,3,0))</f>
        <v>T-face: Normal</v>
      </c>
      <c r="D837" s="19" t="str">
        <f>CONCATENATE($Q$2&amp;": "&amp;VLOOKUP($B836,$N$4:$U$27,4,0))</f>
        <v>Font size: 11</v>
      </c>
      <c r="E837" s="19" t="str">
        <f>CONCATENATE($R$2&amp;": "&amp;VLOOKUP($B836,$N$4:$U$27,5,0))</f>
        <v>Row height: Dependant</v>
      </c>
      <c r="F837" s="19" t="str">
        <f>CONCATENATE($S$2&amp;": "&amp;VLOOKUP($B836,$N$4:$U$27,6,0))</f>
        <v>Text col: Black</v>
      </c>
      <c r="G837" s="19" t="str">
        <f>CONCATENATE($T$2&amp;": "&amp;VLOOKUP($B836,$N$4:$U$27,7,0))</f>
        <v>BG col: Light grey</v>
      </c>
      <c r="H837" s="19" t="str">
        <f>CONCATENATE($U$2&amp;": "&amp;VLOOKUP($B836,$N$4:$U$27,8,0))</f>
        <v>Just: Right</v>
      </c>
      <c r="K837" s="308" t="s">
        <v>85</v>
      </c>
      <c r="L837" s="40"/>
      <c r="M837" s="1"/>
    </row>
    <row r="838" spans="1:21" ht="15" x14ac:dyDescent="0.25">
      <c r="A838" s="229" t="s">
        <v>99</v>
      </c>
      <c r="B838" s="236" t="s">
        <v>246</v>
      </c>
      <c r="C838" s="24"/>
      <c r="D838" s="24"/>
      <c r="E838" s="24"/>
      <c r="F838" s="24"/>
      <c r="G838" s="24"/>
      <c r="H838" s="24"/>
      <c r="K838" s="308" t="s">
        <v>85</v>
      </c>
      <c r="L838" s="40"/>
      <c r="M838" s="1"/>
    </row>
    <row r="839" spans="1:21" ht="15" x14ac:dyDescent="0.25">
      <c r="A839" s="229" t="s">
        <v>102</v>
      </c>
      <c r="B839" s="253">
        <f>'Borrowing expenses'!E41</f>
        <v>0</v>
      </c>
      <c r="C839" s="24"/>
      <c r="D839" s="24"/>
      <c r="E839" s="24"/>
      <c r="F839" s="24"/>
      <c r="G839" s="24"/>
      <c r="H839" s="24"/>
      <c r="K839" s="308" t="s">
        <v>151</v>
      </c>
      <c r="L839" s="40"/>
      <c r="M839" s="1"/>
    </row>
    <row r="840" spans="1:21" ht="15" x14ac:dyDescent="0.25">
      <c r="A840" s="277" t="s">
        <v>247</v>
      </c>
      <c r="B840" s="242" t="s">
        <v>349</v>
      </c>
      <c r="C840" s="24"/>
      <c r="D840" s="24"/>
      <c r="E840" s="24"/>
      <c r="F840" s="24"/>
      <c r="G840" s="24"/>
      <c r="H840" s="24"/>
      <c r="K840" s="308" t="s">
        <v>85</v>
      </c>
      <c r="L840" s="40"/>
      <c r="M840" s="1"/>
      <c r="T840"/>
      <c r="U840"/>
    </row>
    <row r="841" spans="1:21" ht="15" x14ac:dyDescent="0.25">
      <c r="A841" s="277" t="s">
        <v>87</v>
      </c>
      <c r="B841" s="403" t="s">
        <v>265</v>
      </c>
      <c r="C841" s="404"/>
      <c r="D841" s="404"/>
      <c r="E841" s="404"/>
      <c r="F841" s="404"/>
      <c r="G841" s="404"/>
      <c r="H841" s="24"/>
      <c r="K841" s="308" t="s">
        <v>85</v>
      </c>
      <c r="L841" s="40"/>
      <c r="M841" s="1"/>
      <c r="N841" s="23"/>
      <c r="O841" s="23"/>
      <c r="P841" s="23"/>
      <c r="Q841" s="23"/>
      <c r="R841" s="23"/>
      <c r="S841" s="23"/>
    </row>
    <row r="842" spans="1:21" ht="15" x14ac:dyDescent="0.25">
      <c r="A842" s="277" t="s">
        <v>110</v>
      </c>
      <c r="B842" s="236">
        <v>0</v>
      </c>
      <c r="C842" s="24"/>
      <c r="D842" s="24"/>
      <c r="E842" s="24"/>
      <c r="F842" s="24"/>
      <c r="G842" s="24"/>
      <c r="H842" s="24"/>
      <c r="K842" s="308" t="s">
        <v>151</v>
      </c>
      <c r="L842" s="40"/>
      <c r="M842" s="1"/>
    </row>
    <row r="843" spans="1:21" ht="15" x14ac:dyDescent="0.25">
      <c r="A843" s="277" t="s">
        <v>138</v>
      </c>
      <c r="B843" s="244">
        <v>500</v>
      </c>
      <c r="C843" s="24"/>
      <c r="D843" s="24"/>
      <c r="E843" s="24"/>
      <c r="F843" s="24"/>
      <c r="G843" s="24"/>
      <c r="H843" s="24"/>
      <c r="K843" s="308" t="s">
        <v>151</v>
      </c>
      <c r="L843" s="40"/>
      <c r="M843" s="1"/>
    </row>
    <row r="844" spans="1:21" ht="14.1" customHeight="1" x14ac:dyDescent="0.25">
      <c r="A844" s="277" t="s">
        <v>140</v>
      </c>
      <c r="B844" s="405" t="s">
        <v>341</v>
      </c>
      <c r="C844" s="406"/>
      <c r="D844" s="406"/>
      <c r="E844" s="406"/>
      <c r="F844" s="406"/>
      <c r="G844" s="406"/>
      <c r="H844" s="24"/>
      <c r="K844" s="308" t="s">
        <v>85</v>
      </c>
      <c r="L844" s="40"/>
      <c r="M844" s="1"/>
    </row>
    <row r="845" spans="1:21" ht="15" x14ac:dyDescent="0.25">
      <c r="A845" s="277" t="s">
        <v>142</v>
      </c>
      <c r="B845" s="236" t="s">
        <v>85</v>
      </c>
      <c r="C845" s="24"/>
      <c r="D845" s="24"/>
      <c r="E845" s="24"/>
      <c r="F845" s="24"/>
      <c r="G845" s="24"/>
      <c r="H845" s="24"/>
      <c r="K845" s="308" t="s">
        <v>85</v>
      </c>
      <c r="L845" s="40"/>
      <c r="M845" s="1"/>
    </row>
    <row r="846" spans="1:21" ht="30" x14ac:dyDescent="0.25">
      <c r="A846" s="278" t="s">
        <v>144</v>
      </c>
      <c r="B846" s="236" t="str">
        <f>IF(B836=$N$5,"Yes","No")</f>
        <v>Yes</v>
      </c>
      <c r="C846" s="24"/>
      <c r="D846" s="24"/>
      <c r="E846" s="24"/>
      <c r="F846" s="24"/>
      <c r="G846" s="24"/>
      <c r="H846" s="231"/>
      <c r="K846" s="308" t="s">
        <v>85</v>
      </c>
      <c r="L846" s="40"/>
      <c r="M846" s="1"/>
    </row>
    <row r="847" spans="1:21" ht="15" x14ac:dyDescent="0.25">
      <c r="A847" s="229" t="s">
        <v>121</v>
      </c>
      <c r="B847" s="403" t="s">
        <v>266</v>
      </c>
      <c r="C847" s="404"/>
      <c r="D847" s="404"/>
      <c r="E847" s="404"/>
      <c r="F847" s="404"/>
      <c r="G847" s="404"/>
      <c r="H847" s="24"/>
      <c r="K847" s="308" t="s">
        <v>85</v>
      </c>
      <c r="L847" s="40"/>
      <c r="M847" s="1"/>
    </row>
    <row r="848" spans="1:21" ht="15" thickBot="1" x14ac:dyDescent="0.25">
      <c r="A848" s="24"/>
      <c r="B848" s="236"/>
      <c r="C848" s="24"/>
      <c r="D848" s="24"/>
      <c r="E848" s="24"/>
      <c r="F848" s="24"/>
      <c r="G848" s="24"/>
      <c r="H848" s="24"/>
      <c r="K848" s="308" t="s">
        <v>85</v>
      </c>
      <c r="L848" s="40"/>
      <c r="M848" s="1"/>
    </row>
    <row r="849" spans="1:21" ht="15.75" thickBot="1" x14ac:dyDescent="0.3">
      <c r="A849" s="275" t="s">
        <v>373</v>
      </c>
      <c r="B849" s="401" t="s">
        <v>374</v>
      </c>
      <c r="C849" s="402"/>
      <c r="D849" s="402"/>
      <c r="E849" s="402"/>
      <c r="F849" s="402"/>
      <c r="G849" s="402"/>
      <c r="H849" s="402"/>
      <c r="K849" s="308" t="s">
        <v>85</v>
      </c>
      <c r="L849" s="40"/>
      <c r="M849" s="1"/>
    </row>
    <row r="850" spans="1:21" ht="15" x14ac:dyDescent="0.25">
      <c r="A850" s="229" t="s">
        <v>87</v>
      </c>
      <c r="B850" s="236" t="s">
        <v>124</v>
      </c>
      <c r="C850" s="24"/>
      <c r="D850" s="24"/>
      <c r="E850" s="24"/>
      <c r="F850" s="24"/>
      <c r="G850" s="24"/>
      <c r="H850" s="24"/>
      <c r="K850" s="308" t="s">
        <v>85</v>
      </c>
      <c r="L850" s="40"/>
      <c r="M850" s="1"/>
    </row>
    <row r="851" spans="1:21" s="8" customFormat="1" ht="29.25" x14ac:dyDescent="0.25">
      <c r="A851" s="276"/>
      <c r="B851" s="237" t="str">
        <f>CONCATENATE($O$2&amp;": "&amp;VLOOKUP($B850,$N$4:$U$27,2,0))</f>
        <v>Font: Arial</v>
      </c>
      <c r="C851" s="19" t="str">
        <f>CONCATENATE($P$2&amp;": "&amp;VLOOKUP($B850,$N$4:$U$27,3,0))</f>
        <v>T-face: Normal</v>
      </c>
      <c r="D851" s="19" t="str">
        <f>CONCATENATE($Q$2&amp;": "&amp;VLOOKUP($B850,$N$4:$U$27,4,0))</f>
        <v>Font size: 11</v>
      </c>
      <c r="E851" s="19" t="str">
        <f>CONCATENATE($R$2&amp;": "&amp;VLOOKUP($B850,$N$4:$U$27,5,0))</f>
        <v>Row height: 26.5</v>
      </c>
      <c r="F851" s="19" t="str">
        <f>CONCATENATE($S$2&amp;": "&amp;VLOOKUP($B850,$N$4:$U$27,6,0))</f>
        <v>Text col: Black</v>
      </c>
      <c r="G851" s="19" t="str">
        <f>CONCATENATE($T$2&amp;": "&amp;VLOOKUP($B850,$N$4:$U$27,7,0))</f>
        <v>BG col: White</v>
      </c>
      <c r="H851" s="19" t="str">
        <f>CONCATENATE($U$2&amp;": "&amp;VLOOKUP($B850,$N$4:$U$27,8,0))</f>
        <v>Just: Left</v>
      </c>
      <c r="I851" s="37"/>
      <c r="J851" s="2"/>
      <c r="K851" s="308" t="s">
        <v>85</v>
      </c>
      <c r="L851" s="40"/>
      <c r="M851" s="1"/>
      <c r="N851" s="2"/>
      <c r="O851" s="2"/>
      <c r="P851" s="2"/>
      <c r="Q851" s="2"/>
      <c r="R851" s="2"/>
      <c r="S851" s="2"/>
      <c r="T851" s="2"/>
      <c r="U851" s="2"/>
    </row>
    <row r="852" spans="1:21" ht="15" x14ac:dyDescent="0.25">
      <c r="A852" s="229" t="s">
        <v>99</v>
      </c>
      <c r="B852" s="236" t="s">
        <v>240</v>
      </c>
      <c r="C852" s="24"/>
      <c r="D852" s="24"/>
      <c r="E852" s="24"/>
      <c r="F852" s="24"/>
      <c r="G852" s="24"/>
      <c r="H852" s="24"/>
      <c r="J852" s="8"/>
      <c r="K852" s="308" t="s">
        <v>85</v>
      </c>
      <c r="L852" s="40"/>
      <c r="M852" s="1"/>
    </row>
    <row r="853" spans="1:21" ht="15" x14ac:dyDescent="0.25">
      <c r="A853" s="229" t="s">
        <v>102</v>
      </c>
      <c r="B853" s="238" t="s">
        <v>375</v>
      </c>
      <c r="C853" s="39"/>
      <c r="D853" s="39"/>
      <c r="E853" s="39"/>
      <c r="F853" s="39"/>
      <c r="G853" s="39"/>
      <c r="H853" s="24"/>
      <c r="K853" s="308" t="s">
        <v>85</v>
      </c>
      <c r="L853" s="40"/>
      <c r="M853" s="1"/>
    </row>
    <row r="854" spans="1:21" ht="15" x14ac:dyDescent="0.25">
      <c r="A854" s="277" t="s">
        <v>104</v>
      </c>
      <c r="B854" s="236" t="s">
        <v>242</v>
      </c>
      <c r="C854" s="24"/>
      <c r="D854" s="24"/>
      <c r="E854" s="24"/>
      <c r="F854" s="24"/>
      <c r="G854" s="24"/>
      <c r="H854" s="24"/>
      <c r="K854" s="308" t="s">
        <v>85</v>
      </c>
      <c r="L854" s="40"/>
      <c r="M854" s="1"/>
    </row>
    <row r="855" spans="1:21" ht="15" x14ac:dyDescent="0.25">
      <c r="A855" s="277" t="s">
        <v>87</v>
      </c>
      <c r="B855" s="403" t="s">
        <v>155</v>
      </c>
      <c r="C855" s="404"/>
      <c r="D855" s="404"/>
      <c r="E855" s="404"/>
      <c r="F855" s="404"/>
      <c r="G855" s="404"/>
      <c r="H855" s="24"/>
      <c r="K855" s="308" t="s">
        <v>85</v>
      </c>
      <c r="L855" s="40"/>
      <c r="M855" s="1"/>
      <c r="T855"/>
      <c r="U855"/>
    </row>
    <row r="856" spans="1:21" ht="15" x14ac:dyDescent="0.25">
      <c r="A856" s="277" t="s">
        <v>110</v>
      </c>
      <c r="B856" s="236" t="s">
        <v>85</v>
      </c>
      <c r="C856" s="24"/>
      <c r="D856" s="24"/>
      <c r="E856" s="24"/>
      <c r="F856" s="24"/>
      <c r="G856" s="24"/>
      <c r="H856" s="24"/>
      <c r="K856" s="308" t="s">
        <v>85</v>
      </c>
      <c r="L856" s="40"/>
      <c r="M856" s="1"/>
      <c r="N856" s="23"/>
      <c r="O856" s="23"/>
      <c r="P856" s="23"/>
      <c r="Q856" s="23"/>
      <c r="R856" s="23"/>
      <c r="S856" s="23"/>
    </row>
    <row r="857" spans="1:21" ht="15" x14ac:dyDescent="0.25">
      <c r="A857" s="277" t="s">
        <v>138</v>
      </c>
      <c r="B857" s="236" t="s">
        <v>85</v>
      </c>
      <c r="C857" s="24"/>
      <c r="D857" s="24"/>
      <c r="E857" s="24"/>
      <c r="F857" s="24"/>
      <c r="G857" s="24"/>
      <c r="H857" s="24"/>
      <c r="K857" s="308" t="s">
        <v>85</v>
      </c>
      <c r="L857" s="40"/>
      <c r="M857" s="1"/>
    </row>
    <row r="858" spans="1:21" ht="15" x14ac:dyDescent="0.25">
      <c r="A858" s="277" t="s">
        <v>140</v>
      </c>
      <c r="B858" s="236" t="s">
        <v>85</v>
      </c>
      <c r="C858" s="24"/>
      <c r="D858" s="24"/>
      <c r="E858" s="24"/>
      <c r="F858" s="24"/>
      <c r="G858" s="24"/>
      <c r="H858" s="24"/>
      <c r="K858" s="308" t="s">
        <v>85</v>
      </c>
      <c r="L858" s="40"/>
      <c r="M858" s="1"/>
    </row>
    <row r="859" spans="1:21" ht="15" x14ac:dyDescent="0.25">
      <c r="A859" s="277" t="s">
        <v>142</v>
      </c>
      <c r="B859" s="236" t="s">
        <v>85</v>
      </c>
      <c r="C859" s="24"/>
      <c r="D859" s="24"/>
      <c r="E859" s="24"/>
      <c r="F859" s="24"/>
      <c r="G859" s="24"/>
      <c r="H859" s="24"/>
      <c r="K859" s="308" t="s">
        <v>85</v>
      </c>
      <c r="L859" s="40"/>
      <c r="M859" s="1"/>
    </row>
    <row r="860" spans="1:21" customFormat="1" ht="30" x14ac:dyDescent="0.25">
      <c r="A860" s="278" t="s">
        <v>144</v>
      </c>
      <c r="B860" s="236" t="str">
        <f>IF(B850=$N$5,"Yes","No")</f>
        <v>No</v>
      </c>
      <c r="C860" s="24"/>
      <c r="D860" s="24"/>
      <c r="E860" s="24"/>
      <c r="F860" s="24"/>
      <c r="G860" s="24"/>
      <c r="H860" s="231"/>
      <c r="I860" s="35"/>
      <c r="J860" s="2"/>
      <c r="K860" s="308" t="s">
        <v>85</v>
      </c>
      <c r="L860" s="40"/>
      <c r="M860" s="1"/>
      <c r="N860" s="2"/>
      <c r="O860" s="2"/>
      <c r="P860" s="2"/>
      <c r="Q860" s="2"/>
      <c r="R860" s="2"/>
      <c r="S860" s="2"/>
      <c r="T860" s="8"/>
      <c r="U860" s="8"/>
    </row>
    <row r="861" spans="1:21" ht="15" x14ac:dyDescent="0.25">
      <c r="A861" s="229" t="s">
        <v>121</v>
      </c>
      <c r="B861" s="403" t="s">
        <v>376</v>
      </c>
      <c r="C861" s="404"/>
      <c r="D861" s="404"/>
      <c r="E861" s="404"/>
      <c r="F861" s="404"/>
      <c r="G861" s="404"/>
      <c r="H861" s="24"/>
      <c r="J861" s="22"/>
      <c r="K861" s="308" t="s">
        <v>85</v>
      </c>
      <c r="L861" s="40"/>
      <c r="M861" s="1"/>
      <c r="N861" s="8"/>
      <c r="O861" s="8"/>
      <c r="P861" s="8"/>
      <c r="Q861" s="8"/>
      <c r="R861" s="8"/>
      <c r="S861" s="8"/>
    </row>
    <row r="862" spans="1:21" ht="15" thickBot="1" x14ac:dyDescent="0.25">
      <c r="A862" s="24"/>
      <c r="B862" s="236"/>
      <c r="C862" s="24"/>
      <c r="D862" s="24"/>
      <c r="E862" s="24"/>
      <c r="F862" s="24"/>
      <c r="G862" s="24"/>
      <c r="H862" s="24"/>
      <c r="K862" s="308" t="s">
        <v>85</v>
      </c>
      <c r="L862" s="40"/>
      <c r="M862" s="1"/>
    </row>
    <row r="863" spans="1:21" ht="15.75" thickBot="1" x14ac:dyDescent="0.3">
      <c r="A863" s="275" t="s">
        <v>377</v>
      </c>
      <c r="B863" s="401" t="s">
        <v>378</v>
      </c>
      <c r="C863" s="402"/>
      <c r="D863" s="402"/>
      <c r="E863" s="402"/>
      <c r="F863" s="402"/>
      <c r="G863" s="402"/>
      <c r="H863" s="402"/>
      <c r="K863" s="308" t="s">
        <v>85</v>
      </c>
      <c r="L863" s="40"/>
      <c r="M863" s="1"/>
    </row>
    <row r="864" spans="1:21" ht="15" x14ac:dyDescent="0.25">
      <c r="A864" s="229" t="s">
        <v>87</v>
      </c>
      <c r="B864" s="236" t="s">
        <v>95</v>
      </c>
      <c r="C864" s="24"/>
      <c r="D864" s="24"/>
      <c r="E864" s="24"/>
      <c r="F864" s="24"/>
      <c r="G864" s="24"/>
      <c r="H864" s="24"/>
      <c r="K864" s="308" t="s">
        <v>85</v>
      </c>
      <c r="L864" s="40"/>
      <c r="M864" s="1"/>
    </row>
    <row r="865" spans="1:21" ht="29.25" x14ac:dyDescent="0.25">
      <c r="A865" s="276"/>
      <c r="B865" s="237" t="str">
        <f>CONCATENATE($O$2&amp;": "&amp;VLOOKUP($B864,$N$4:$U$27,2,0))</f>
        <v>Font: Arial</v>
      </c>
      <c r="C865" s="19" t="str">
        <f>CONCATENATE($P$2&amp;": "&amp;VLOOKUP($B864,$N$4:$U$27,3,0))</f>
        <v>T-face: Normal</v>
      </c>
      <c r="D865" s="19" t="str">
        <f>CONCATENATE($Q$2&amp;": "&amp;VLOOKUP($B864,$N$4:$U$27,4,0))</f>
        <v>Font size: 11</v>
      </c>
      <c r="E865" s="19" t="str">
        <f>CONCATENATE($R$2&amp;": "&amp;VLOOKUP($B864,$N$4:$U$27,5,0))</f>
        <v>Row height: Dependant</v>
      </c>
      <c r="F865" s="19" t="str">
        <f>CONCATENATE($S$2&amp;": "&amp;VLOOKUP($B864,$N$4:$U$27,6,0))</f>
        <v>Text col: Black</v>
      </c>
      <c r="G865" s="19" t="str">
        <f>CONCATENATE($T$2&amp;": "&amp;VLOOKUP($B864,$N$4:$U$27,7,0))</f>
        <v>BG col: Light grey</v>
      </c>
      <c r="H865" s="19" t="str">
        <f>CONCATENATE($U$2&amp;": "&amp;VLOOKUP($B864,$N$4:$U$27,8,0))</f>
        <v>Just: Right</v>
      </c>
      <c r="K865" s="308" t="s">
        <v>85</v>
      </c>
      <c r="L865" s="40"/>
      <c r="M865" s="1"/>
    </row>
    <row r="866" spans="1:21" ht="15" x14ac:dyDescent="0.25">
      <c r="A866" s="229" t="s">
        <v>99</v>
      </c>
      <c r="B866" s="236" t="s">
        <v>246</v>
      </c>
      <c r="C866" s="24"/>
      <c r="D866" s="24"/>
      <c r="E866" s="24"/>
      <c r="F866" s="24"/>
      <c r="G866" s="24"/>
      <c r="H866" s="24"/>
      <c r="K866" s="308" t="s">
        <v>85</v>
      </c>
      <c r="L866" s="40"/>
      <c r="M866" s="1"/>
    </row>
    <row r="867" spans="1:21" ht="15" x14ac:dyDescent="0.25">
      <c r="A867" s="229" t="s">
        <v>102</v>
      </c>
      <c r="B867" s="253">
        <f>'Borrowing expenses'!E42</f>
        <v>0</v>
      </c>
      <c r="C867" s="24"/>
      <c r="D867" s="24"/>
      <c r="E867" s="24"/>
      <c r="F867" s="24"/>
      <c r="G867" s="24"/>
      <c r="H867" s="24"/>
      <c r="K867" s="308" t="s">
        <v>151</v>
      </c>
      <c r="L867" s="40"/>
      <c r="M867" s="1"/>
    </row>
    <row r="868" spans="1:21" ht="15" x14ac:dyDescent="0.25">
      <c r="A868" s="277" t="s">
        <v>247</v>
      </c>
      <c r="B868" s="242" t="s">
        <v>349</v>
      </c>
      <c r="C868" s="24"/>
      <c r="D868" s="24"/>
      <c r="E868" s="24"/>
      <c r="F868" s="24"/>
      <c r="G868" s="24"/>
      <c r="H868" s="24"/>
      <c r="K868" s="308" t="s">
        <v>85</v>
      </c>
      <c r="L868" s="40"/>
      <c r="M868" s="1"/>
      <c r="T868"/>
      <c r="U868"/>
    </row>
    <row r="869" spans="1:21" ht="15" x14ac:dyDescent="0.25">
      <c r="A869" s="277" t="s">
        <v>87</v>
      </c>
      <c r="B869" s="403" t="s">
        <v>265</v>
      </c>
      <c r="C869" s="404"/>
      <c r="D869" s="404"/>
      <c r="E869" s="404"/>
      <c r="F869" s="404"/>
      <c r="G869" s="404"/>
      <c r="H869" s="24"/>
      <c r="K869" s="308" t="s">
        <v>85</v>
      </c>
      <c r="L869" s="40"/>
      <c r="M869" s="1"/>
      <c r="N869" s="23"/>
      <c r="O869" s="23"/>
      <c r="P869" s="23"/>
      <c r="Q869" s="23"/>
      <c r="R869" s="23"/>
      <c r="S869" s="23"/>
    </row>
    <row r="870" spans="1:21" ht="15" x14ac:dyDescent="0.25">
      <c r="A870" s="277" t="s">
        <v>110</v>
      </c>
      <c r="B870" s="236">
        <v>0</v>
      </c>
      <c r="C870" s="24"/>
      <c r="D870" s="24"/>
      <c r="E870" s="24"/>
      <c r="F870" s="24"/>
      <c r="G870" s="24"/>
      <c r="H870" s="24"/>
      <c r="K870" s="308" t="s">
        <v>151</v>
      </c>
      <c r="L870" s="40"/>
      <c r="M870" s="1"/>
    </row>
    <row r="871" spans="1:21" ht="15" x14ac:dyDescent="0.25">
      <c r="A871" s="277" t="s">
        <v>138</v>
      </c>
      <c r="B871" s="244">
        <v>1000</v>
      </c>
      <c r="C871" s="24"/>
      <c r="D871" s="24"/>
      <c r="E871" s="24"/>
      <c r="F871" s="24"/>
      <c r="G871" s="24"/>
      <c r="H871" s="24"/>
      <c r="K871" s="308" t="s">
        <v>151</v>
      </c>
      <c r="L871" s="40"/>
      <c r="M871" s="1"/>
    </row>
    <row r="872" spans="1:21" ht="14.1" customHeight="1" x14ac:dyDescent="0.25">
      <c r="A872" s="277" t="s">
        <v>140</v>
      </c>
      <c r="B872" s="405" t="s">
        <v>341</v>
      </c>
      <c r="C872" s="406"/>
      <c r="D872" s="406"/>
      <c r="E872" s="406"/>
      <c r="F872" s="406"/>
      <c r="G872" s="406"/>
      <c r="H872" s="24"/>
      <c r="K872" s="308" t="s">
        <v>85</v>
      </c>
      <c r="L872" s="40"/>
      <c r="M872" s="1"/>
    </row>
    <row r="873" spans="1:21" ht="15" x14ac:dyDescent="0.25">
      <c r="A873" s="277" t="s">
        <v>142</v>
      </c>
      <c r="B873" s="236" t="s">
        <v>85</v>
      </c>
      <c r="C873" s="24"/>
      <c r="D873" s="24"/>
      <c r="E873" s="24"/>
      <c r="F873" s="24"/>
      <c r="G873" s="24"/>
      <c r="H873" s="24"/>
      <c r="K873" s="308" t="s">
        <v>85</v>
      </c>
      <c r="L873" s="40"/>
      <c r="M873" s="1"/>
    </row>
    <row r="874" spans="1:21" ht="30" x14ac:dyDescent="0.25">
      <c r="A874" s="278" t="s">
        <v>144</v>
      </c>
      <c r="B874" s="236" t="str">
        <f>IF(B864=$N$5,"Yes","No")</f>
        <v>Yes</v>
      </c>
      <c r="C874" s="24"/>
      <c r="D874" s="24"/>
      <c r="E874" s="24"/>
      <c r="F874" s="24"/>
      <c r="G874" s="24"/>
      <c r="H874" s="231"/>
      <c r="K874" s="308" t="s">
        <v>85</v>
      </c>
      <c r="L874" s="40"/>
      <c r="M874" s="1"/>
    </row>
    <row r="875" spans="1:21" ht="15" x14ac:dyDescent="0.25">
      <c r="A875" s="229" t="s">
        <v>121</v>
      </c>
      <c r="B875" s="403" t="s">
        <v>266</v>
      </c>
      <c r="C875" s="404"/>
      <c r="D875" s="404"/>
      <c r="E875" s="404"/>
      <c r="F875" s="404"/>
      <c r="G875" s="404"/>
      <c r="H875" s="24"/>
      <c r="K875" s="308" t="s">
        <v>85</v>
      </c>
      <c r="L875" s="40"/>
      <c r="M875" s="1"/>
    </row>
    <row r="876" spans="1:21" ht="15" thickBot="1" x14ac:dyDescent="0.25">
      <c r="A876" s="24"/>
      <c r="B876" s="236"/>
      <c r="C876" s="24"/>
      <c r="D876" s="24"/>
      <c r="E876" s="24"/>
      <c r="F876" s="24"/>
      <c r="G876" s="24"/>
      <c r="H876" s="24"/>
      <c r="K876" s="308" t="s">
        <v>85</v>
      </c>
      <c r="L876" s="40"/>
      <c r="M876" s="1"/>
    </row>
    <row r="877" spans="1:21" ht="15.75" thickBot="1" x14ac:dyDescent="0.3">
      <c r="A877" s="275" t="s">
        <v>379</v>
      </c>
      <c r="B877" s="401" t="s">
        <v>380</v>
      </c>
      <c r="C877" s="402"/>
      <c r="D877" s="402"/>
      <c r="E877" s="402"/>
      <c r="F877" s="402"/>
      <c r="G877" s="402"/>
      <c r="H877" s="402"/>
      <c r="K877" s="308" t="s">
        <v>85</v>
      </c>
      <c r="L877" s="40"/>
      <c r="M877" s="1"/>
    </row>
    <row r="878" spans="1:21" ht="15" x14ac:dyDescent="0.25">
      <c r="A878" s="229" t="s">
        <v>87</v>
      </c>
      <c r="B878" s="236" t="s">
        <v>136</v>
      </c>
      <c r="C878" s="24"/>
      <c r="D878" s="24"/>
      <c r="E878" s="24"/>
      <c r="F878" s="24"/>
      <c r="G878" s="24"/>
      <c r="H878" s="24"/>
      <c r="K878" s="308" t="s">
        <v>85</v>
      </c>
      <c r="L878" s="40"/>
      <c r="M878" s="1"/>
    </row>
    <row r="879" spans="1:21" s="8" customFormat="1" ht="29.25" x14ac:dyDescent="0.25">
      <c r="A879" s="276"/>
      <c r="B879" s="237" t="str">
        <f>CONCATENATE($O$2&amp;": "&amp;VLOOKUP($B878,$N$4:$U$27,2,0))</f>
        <v>Font: Arial</v>
      </c>
      <c r="C879" s="19" t="str">
        <f>CONCATENATE($P$2&amp;": "&amp;VLOOKUP($B878,$N$4:$U$27,3,0))</f>
        <v>T-face: Bold</v>
      </c>
      <c r="D879" s="19" t="str">
        <f>CONCATENATE($Q$2&amp;": "&amp;VLOOKUP($B878,$N$4:$U$27,4,0))</f>
        <v>Font size: 11</v>
      </c>
      <c r="E879" s="19" t="str">
        <f>CONCATENATE($R$2&amp;": "&amp;VLOOKUP($B878,$N$4:$U$27,5,0))</f>
        <v>Row height: 26.5</v>
      </c>
      <c r="F879" s="19" t="str">
        <f>CONCATENATE($S$2&amp;": "&amp;VLOOKUP($B878,$N$4:$U$27,6,0))</f>
        <v>Text col: Black</v>
      </c>
      <c r="G879" s="19" t="str">
        <f>CONCATENATE($T$2&amp;": "&amp;VLOOKUP($B878,$N$4:$U$27,7,0))</f>
        <v>BG col: Light Sky blue</v>
      </c>
      <c r="H879" s="19" t="str">
        <f>CONCATENATE($U$2&amp;": "&amp;VLOOKUP($B878,$N$4:$U$27,8,0))</f>
        <v>Just: Left</v>
      </c>
      <c r="I879" s="37"/>
      <c r="J879" s="2"/>
      <c r="K879" s="308" t="s">
        <v>85</v>
      </c>
      <c r="L879" s="40"/>
      <c r="M879" s="1"/>
      <c r="N879" s="2"/>
      <c r="O879" s="2"/>
      <c r="P879" s="2"/>
      <c r="Q879" s="2"/>
      <c r="R879" s="2"/>
      <c r="S879" s="2"/>
      <c r="T879" s="2"/>
      <c r="U879" s="2"/>
    </row>
    <row r="880" spans="1:21" ht="15" x14ac:dyDescent="0.25">
      <c r="A880" s="229" t="s">
        <v>99</v>
      </c>
      <c r="B880" s="236" t="s">
        <v>381</v>
      </c>
      <c r="C880" s="24"/>
      <c r="D880" s="24"/>
      <c r="E880" s="24"/>
      <c r="F880" s="24"/>
      <c r="G880" s="24"/>
      <c r="H880" s="24"/>
      <c r="J880" s="8"/>
      <c r="K880" s="308" t="s">
        <v>85</v>
      </c>
      <c r="L880" s="40"/>
      <c r="M880" s="1"/>
    </row>
    <row r="881" spans="1:21" ht="15" x14ac:dyDescent="0.25">
      <c r="A881" s="229" t="s">
        <v>102</v>
      </c>
      <c r="B881" s="238" t="s">
        <v>382</v>
      </c>
      <c r="C881" s="39"/>
      <c r="D881" s="39"/>
      <c r="E881" s="39"/>
      <c r="F881" s="39"/>
      <c r="G881" s="39"/>
      <c r="H881" s="24"/>
      <c r="K881" s="308" t="s">
        <v>151</v>
      </c>
      <c r="L881" s="40"/>
      <c r="M881" s="1"/>
    </row>
    <row r="882" spans="1:21" ht="15" x14ac:dyDescent="0.25">
      <c r="A882" s="277" t="s">
        <v>104</v>
      </c>
      <c r="B882" s="236" t="s">
        <v>242</v>
      </c>
      <c r="C882" s="24"/>
      <c r="D882" s="24"/>
      <c r="E882" s="24"/>
      <c r="F882" s="24"/>
      <c r="G882" s="24"/>
      <c r="H882" s="24"/>
      <c r="K882" s="308" t="s">
        <v>85</v>
      </c>
      <c r="L882" s="40"/>
      <c r="M882" s="1"/>
    </row>
    <row r="883" spans="1:21" ht="15" x14ac:dyDescent="0.25">
      <c r="A883" s="277" t="s">
        <v>87</v>
      </c>
      <c r="B883" s="403" t="s">
        <v>155</v>
      </c>
      <c r="C883" s="404"/>
      <c r="D883" s="404"/>
      <c r="E883" s="404"/>
      <c r="F883" s="404"/>
      <c r="G883" s="404"/>
      <c r="H883" s="24"/>
      <c r="K883" s="308" t="s">
        <v>85</v>
      </c>
      <c r="L883" s="40"/>
      <c r="M883" s="1"/>
      <c r="T883"/>
      <c r="U883"/>
    </row>
    <row r="884" spans="1:21" ht="15" x14ac:dyDescent="0.25">
      <c r="A884" s="277" t="s">
        <v>110</v>
      </c>
      <c r="B884" s="236" t="s">
        <v>85</v>
      </c>
      <c r="C884" s="24"/>
      <c r="D884" s="24"/>
      <c r="E884" s="24"/>
      <c r="F884" s="24"/>
      <c r="G884" s="24"/>
      <c r="H884" s="24"/>
      <c r="K884" s="308" t="s">
        <v>85</v>
      </c>
      <c r="L884" s="40"/>
      <c r="M884" s="1"/>
      <c r="N884" s="23"/>
      <c r="O884" s="23"/>
      <c r="P884" s="23"/>
      <c r="Q884" s="23"/>
      <c r="R884" s="23"/>
      <c r="S884" s="23"/>
    </row>
    <row r="885" spans="1:21" ht="15" x14ac:dyDescent="0.25">
      <c r="A885" s="277" t="s">
        <v>138</v>
      </c>
      <c r="B885" s="236" t="s">
        <v>85</v>
      </c>
      <c r="C885" s="24"/>
      <c r="D885" s="24"/>
      <c r="E885" s="24"/>
      <c r="F885" s="24"/>
      <c r="G885" s="24"/>
      <c r="H885" s="24"/>
      <c r="K885" s="308" t="s">
        <v>85</v>
      </c>
      <c r="L885" s="40"/>
      <c r="M885" s="1"/>
    </row>
    <row r="886" spans="1:21" ht="15" x14ac:dyDescent="0.25">
      <c r="A886" s="277" t="s">
        <v>140</v>
      </c>
      <c r="B886" s="236" t="s">
        <v>85</v>
      </c>
      <c r="C886" s="24"/>
      <c r="D886" s="24"/>
      <c r="E886" s="24"/>
      <c r="F886" s="24"/>
      <c r="G886" s="24"/>
      <c r="H886" s="24"/>
      <c r="K886" s="308" t="s">
        <v>85</v>
      </c>
      <c r="L886" s="40"/>
      <c r="M886" s="1"/>
    </row>
    <row r="887" spans="1:21" ht="15" x14ac:dyDescent="0.25">
      <c r="A887" s="277" t="s">
        <v>142</v>
      </c>
      <c r="B887" s="236" t="s">
        <v>85</v>
      </c>
      <c r="C887" s="24"/>
      <c r="D887" s="24"/>
      <c r="E887" s="24"/>
      <c r="F887" s="24"/>
      <c r="G887" s="24"/>
      <c r="H887" s="24"/>
      <c r="K887" s="308" t="s">
        <v>85</v>
      </c>
      <c r="L887" s="40"/>
      <c r="M887" s="1"/>
    </row>
    <row r="888" spans="1:21" customFormat="1" ht="30" x14ac:dyDescent="0.25">
      <c r="A888" s="278" t="s">
        <v>144</v>
      </c>
      <c r="B888" s="236" t="str">
        <f>IF(B878=$N$5,"Yes","No")</f>
        <v>No</v>
      </c>
      <c r="C888" s="24"/>
      <c r="D888" s="24"/>
      <c r="E888" s="24"/>
      <c r="F888" s="24"/>
      <c r="G888" s="24"/>
      <c r="H888" s="231"/>
      <c r="I888" s="35"/>
      <c r="J888" s="2"/>
      <c r="K888" s="308" t="s">
        <v>85</v>
      </c>
      <c r="L888" s="40"/>
      <c r="M888" s="1"/>
      <c r="N888" s="2"/>
      <c r="O888" s="2"/>
      <c r="P888" s="2"/>
      <c r="Q888" s="2"/>
      <c r="R888" s="2"/>
      <c r="S888" s="2"/>
      <c r="T888" s="8"/>
      <c r="U888" s="8"/>
    </row>
    <row r="889" spans="1:21" ht="15" x14ac:dyDescent="0.25">
      <c r="A889" s="229" t="s">
        <v>121</v>
      </c>
      <c r="B889" s="403" t="s">
        <v>383</v>
      </c>
      <c r="C889" s="404"/>
      <c r="D889" s="404"/>
      <c r="E889" s="404"/>
      <c r="F889" s="404"/>
      <c r="G889" s="404"/>
      <c r="H889" s="24"/>
      <c r="J889" s="22"/>
      <c r="K889" s="308" t="s">
        <v>85</v>
      </c>
      <c r="L889" s="40"/>
      <c r="M889" s="1"/>
      <c r="N889" s="8"/>
      <c r="O889" s="8"/>
      <c r="P889" s="8"/>
      <c r="Q889" s="8"/>
      <c r="R889" s="8"/>
      <c r="S889" s="8"/>
    </row>
    <row r="890" spans="1:21" ht="15" thickBot="1" x14ac:dyDescent="0.25">
      <c r="A890" s="24"/>
      <c r="B890" s="236"/>
      <c r="C890" s="24"/>
      <c r="D890" s="24"/>
      <c r="E890" s="24"/>
      <c r="F890" s="24"/>
      <c r="G890" s="24"/>
      <c r="H890" s="24"/>
      <c r="K890" s="308" t="s">
        <v>85</v>
      </c>
      <c r="L890" s="40"/>
      <c r="M890" s="1"/>
    </row>
    <row r="891" spans="1:21" ht="15.75" thickBot="1" x14ac:dyDescent="0.3">
      <c r="A891" s="275" t="s">
        <v>384</v>
      </c>
      <c r="B891" s="401" t="s">
        <v>385</v>
      </c>
      <c r="C891" s="402"/>
      <c r="D891" s="402"/>
      <c r="E891" s="402"/>
      <c r="F891" s="402"/>
      <c r="G891" s="402"/>
      <c r="H891" s="402"/>
      <c r="K891" s="308" t="s">
        <v>85</v>
      </c>
      <c r="L891" s="40"/>
      <c r="M891" s="1"/>
    </row>
    <row r="892" spans="1:21" ht="15" x14ac:dyDescent="0.25">
      <c r="A892" s="229" t="s">
        <v>87</v>
      </c>
      <c r="B892" s="236" t="s">
        <v>89</v>
      </c>
      <c r="C892" s="24"/>
      <c r="D892" s="24"/>
      <c r="E892" s="24"/>
      <c r="F892" s="24"/>
      <c r="G892" s="24"/>
      <c r="H892" s="24"/>
      <c r="K892" s="308" t="s">
        <v>85</v>
      </c>
      <c r="L892" s="40"/>
      <c r="M892" s="1"/>
    </row>
    <row r="893" spans="1:21" ht="29.25" x14ac:dyDescent="0.25">
      <c r="A893" s="276"/>
      <c r="B893" s="237" t="str">
        <f>CONCATENATE($O$2&amp;": "&amp;VLOOKUP($B892,$N$4:$U$27,2,0))</f>
        <v>Font: Arial</v>
      </c>
      <c r="C893" s="19" t="str">
        <f>CONCATENATE($P$2&amp;": "&amp;VLOOKUP($B892,$N$4:$U$27,3,0))</f>
        <v>T-face: Dependant</v>
      </c>
      <c r="D893" s="19" t="str">
        <f>CONCATENATE($Q$2&amp;": "&amp;VLOOKUP($B892,$N$4:$U$27,4,0))</f>
        <v>Font size: 11</v>
      </c>
      <c r="E893" s="19" t="str">
        <f>CONCATENATE($R$2&amp;": "&amp;VLOOKUP($B892,$N$4:$U$27,5,0))</f>
        <v>Row height: Dependant</v>
      </c>
      <c r="F893" s="19" t="str">
        <f>CONCATENATE($S$2&amp;": "&amp;VLOOKUP($B892,$N$4:$U$27,6,0))</f>
        <v>Text col: Black</v>
      </c>
      <c r="G893" s="19" t="str">
        <f>CONCATENATE($T$2&amp;": "&amp;VLOOKUP($B892,$N$4:$U$27,7,0))</f>
        <v>BG col: White</v>
      </c>
      <c r="H893" s="19" t="str">
        <f>CONCATENATE($U$2&amp;": "&amp;VLOOKUP($B892,$N$4:$U$27,8,0))</f>
        <v>Just: Left</v>
      </c>
      <c r="K893" s="308" t="s">
        <v>85</v>
      </c>
      <c r="L893" s="40"/>
      <c r="M893" s="1"/>
    </row>
    <row r="894" spans="1:21" ht="15" x14ac:dyDescent="0.25">
      <c r="A894" s="229" t="s">
        <v>99</v>
      </c>
      <c r="B894" s="236" t="s">
        <v>246</v>
      </c>
      <c r="C894" s="24"/>
      <c r="D894" s="24"/>
      <c r="E894" s="24"/>
      <c r="F894" s="24"/>
      <c r="G894" s="24"/>
      <c r="H894" s="24"/>
      <c r="K894" s="308" t="s">
        <v>85</v>
      </c>
      <c r="L894" s="40"/>
      <c r="M894" s="1"/>
    </row>
    <row r="895" spans="1:21" ht="15" x14ac:dyDescent="0.25">
      <c r="A895" s="229" t="s">
        <v>102</v>
      </c>
      <c r="B895" s="254">
        <f>IFERROR(B699+B727+B755+B783+B811+B839+B867,"Invalid data entered!")</f>
        <v>0</v>
      </c>
      <c r="C895" s="24"/>
      <c r="D895" s="24"/>
      <c r="E895" s="24"/>
      <c r="F895" s="24"/>
      <c r="G895" s="24"/>
      <c r="H895" s="24"/>
      <c r="K895" s="308" t="s">
        <v>151</v>
      </c>
      <c r="L895" s="40"/>
      <c r="M895" s="1"/>
    </row>
    <row r="896" spans="1:21" ht="15" x14ac:dyDescent="0.25">
      <c r="A896" s="277" t="s">
        <v>247</v>
      </c>
      <c r="B896" s="242" t="s">
        <v>349</v>
      </c>
      <c r="C896" s="24"/>
      <c r="D896" s="24"/>
      <c r="E896" s="24"/>
      <c r="F896" s="24"/>
      <c r="G896" s="24"/>
      <c r="H896" s="24"/>
      <c r="K896" s="308" t="s">
        <v>85</v>
      </c>
      <c r="L896" s="40"/>
      <c r="M896" s="1"/>
      <c r="T896"/>
      <c r="U896"/>
    </row>
    <row r="897" spans="1:21" ht="15" x14ac:dyDescent="0.25">
      <c r="A897" s="277" t="s">
        <v>87</v>
      </c>
      <c r="B897" s="403" t="s">
        <v>265</v>
      </c>
      <c r="C897" s="404"/>
      <c r="D897" s="404"/>
      <c r="E897" s="404"/>
      <c r="F897" s="404"/>
      <c r="G897" s="404"/>
      <c r="H897" s="24"/>
      <c r="K897" s="308" t="s">
        <v>85</v>
      </c>
      <c r="L897" s="40"/>
      <c r="M897" s="1"/>
      <c r="N897" s="23"/>
      <c r="O897" s="23"/>
      <c r="P897" s="23"/>
      <c r="Q897" s="23"/>
      <c r="R897" s="23"/>
      <c r="S897" s="23"/>
    </row>
    <row r="898" spans="1:21" ht="15" x14ac:dyDescent="0.25">
      <c r="A898" s="277" t="s">
        <v>110</v>
      </c>
      <c r="B898" s="236" t="s">
        <v>85</v>
      </c>
      <c r="C898" s="24"/>
      <c r="D898" s="24"/>
      <c r="E898" s="24"/>
      <c r="F898" s="24"/>
      <c r="G898" s="24"/>
      <c r="H898" s="24"/>
      <c r="K898" s="308" t="s">
        <v>85</v>
      </c>
      <c r="L898" s="40"/>
      <c r="M898" s="1"/>
    </row>
    <row r="899" spans="1:21" ht="15" x14ac:dyDescent="0.25">
      <c r="A899" s="277" t="s">
        <v>138</v>
      </c>
      <c r="B899" s="244" t="s">
        <v>85</v>
      </c>
      <c r="C899" s="24"/>
      <c r="D899" s="24"/>
      <c r="E899" s="24"/>
      <c r="F899" s="24"/>
      <c r="G899" s="24"/>
      <c r="H899" s="24"/>
      <c r="K899" s="308" t="s">
        <v>85</v>
      </c>
      <c r="L899" s="40"/>
      <c r="M899" s="1"/>
    </row>
    <row r="900" spans="1:21" ht="15" x14ac:dyDescent="0.25">
      <c r="A900" s="277" t="s">
        <v>140</v>
      </c>
      <c r="B900" s="413" t="s">
        <v>85</v>
      </c>
      <c r="C900" s="414"/>
      <c r="D900" s="414"/>
      <c r="E900" s="414"/>
      <c r="F900" s="414"/>
      <c r="G900" s="414"/>
      <c r="H900" s="24"/>
      <c r="K900" s="308" t="s">
        <v>85</v>
      </c>
      <c r="L900" s="40"/>
      <c r="M900" s="1"/>
    </row>
    <row r="901" spans="1:21" ht="15" x14ac:dyDescent="0.25">
      <c r="A901" s="277" t="s">
        <v>142</v>
      </c>
      <c r="B901" s="236" t="s">
        <v>85</v>
      </c>
      <c r="C901" s="24"/>
      <c r="D901" s="24"/>
      <c r="E901" s="24"/>
      <c r="F901" s="24"/>
      <c r="G901" s="24"/>
      <c r="H901" s="24"/>
      <c r="K901" s="308" t="s">
        <v>85</v>
      </c>
      <c r="L901" s="40"/>
      <c r="M901" s="1"/>
    </row>
    <row r="902" spans="1:21" ht="30" x14ac:dyDescent="0.25">
      <c r="A902" s="278" t="s">
        <v>144</v>
      </c>
      <c r="B902" s="236" t="str">
        <f>IF(B892=$N$5,"Yes","No")</f>
        <v>No</v>
      </c>
      <c r="C902" s="24"/>
      <c r="D902" s="24"/>
      <c r="E902" s="24"/>
      <c r="F902" s="24"/>
      <c r="G902" s="24"/>
      <c r="H902" s="231"/>
      <c r="K902" s="308" t="s">
        <v>85</v>
      </c>
      <c r="L902" s="40"/>
      <c r="M902" s="1"/>
    </row>
    <row r="903" spans="1:21" ht="15" x14ac:dyDescent="0.25">
      <c r="A903" s="229" t="s">
        <v>121</v>
      </c>
      <c r="B903" s="403" t="s">
        <v>315</v>
      </c>
      <c r="C903" s="404"/>
      <c r="D903" s="404"/>
      <c r="E903" s="404"/>
      <c r="F903" s="404"/>
      <c r="G903" s="404"/>
      <c r="H903" s="24"/>
      <c r="K903" s="308" t="s">
        <v>85</v>
      </c>
      <c r="L903" s="40"/>
      <c r="M903" s="1"/>
    </row>
    <row r="904" spans="1:21" ht="15" thickBot="1" x14ac:dyDescent="0.25">
      <c r="A904" s="24"/>
      <c r="B904" s="236"/>
      <c r="C904" s="24"/>
      <c r="D904" s="24"/>
      <c r="E904" s="24"/>
      <c r="F904" s="24"/>
      <c r="G904" s="24"/>
      <c r="H904" s="24"/>
      <c r="K904" s="308" t="s">
        <v>85</v>
      </c>
      <c r="L904" s="40"/>
      <c r="M904" s="1"/>
    </row>
    <row r="905" spans="1:21" ht="15.75" thickBot="1" x14ac:dyDescent="0.3">
      <c r="A905" s="275" t="s">
        <v>386</v>
      </c>
      <c r="B905" s="401" t="s">
        <v>387</v>
      </c>
      <c r="C905" s="402"/>
      <c r="D905" s="402"/>
      <c r="E905" s="402"/>
      <c r="F905" s="402"/>
      <c r="G905" s="402"/>
      <c r="H905" s="402"/>
      <c r="K905" s="308" t="s">
        <v>85</v>
      </c>
      <c r="L905" s="40"/>
      <c r="M905" s="1"/>
    </row>
    <row r="906" spans="1:21" ht="15" x14ac:dyDescent="0.25">
      <c r="A906" s="229" t="s">
        <v>87</v>
      </c>
      <c r="B906" s="236" t="s">
        <v>131</v>
      </c>
      <c r="C906" s="24"/>
      <c r="D906" s="24"/>
      <c r="E906" s="24"/>
      <c r="F906" s="24"/>
      <c r="G906" s="24"/>
      <c r="H906" s="24"/>
      <c r="K906" s="308" t="s">
        <v>85</v>
      </c>
      <c r="L906" s="40"/>
      <c r="M906" s="1"/>
    </row>
    <row r="907" spans="1:21" s="8" customFormat="1" ht="15" x14ac:dyDescent="0.25">
      <c r="A907" s="276"/>
      <c r="B907" s="237" t="str">
        <f>CONCATENATE($O$2&amp;": "&amp;VLOOKUP($B906,$N$4:$U$27,2,0))</f>
        <v>Font: Arial</v>
      </c>
      <c r="C907" s="19" t="str">
        <f>CONCATENATE($P$2&amp;": "&amp;VLOOKUP($B906,$N$4:$U$27,3,0))</f>
        <v>T-face: Bold</v>
      </c>
      <c r="D907" s="19" t="str">
        <f>CONCATENATE($Q$2&amp;": "&amp;VLOOKUP($B906,$N$4:$U$27,4,0))</f>
        <v>Font size: 16</v>
      </c>
      <c r="E907" s="19" t="str">
        <f>CONCATENATE($R$2&amp;": "&amp;VLOOKUP($B906,$N$4:$U$27,5,0))</f>
        <v>Row height: 40</v>
      </c>
      <c r="F907" s="19" t="str">
        <f>CONCATENATE($S$2&amp;": "&amp;VLOOKUP($B906,$N$4:$U$27,6,0))</f>
        <v>Text col: Blue</v>
      </c>
      <c r="G907" s="19" t="str">
        <f>CONCATENATE($T$2&amp;": "&amp;VLOOKUP($B906,$N$4:$U$27,7,0))</f>
        <v>BG col: White</v>
      </c>
      <c r="H907" s="19" t="str">
        <f>CONCATENATE($U$2&amp;": "&amp;VLOOKUP($B906,$N$4:$U$27,8,0))</f>
        <v>Just: Left</v>
      </c>
      <c r="I907" s="37"/>
      <c r="J907" s="2"/>
      <c r="K907" s="308" t="s">
        <v>85</v>
      </c>
      <c r="L907" s="40"/>
      <c r="M907" s="1"/>
      <c r="N907" s="2"/>
      <c r="O907" s="2"/>
      <c r="P907" s="2"/>
      <c r="Q907" s="2"/>
      <c r="R907" s="2"/>
      <c r="S907" s="2"/>
      <c r="T907" s="2"/>
      <c r="U907" s="2"/>
    </row>
    <row r="908" spans="1:21" ht="15" x14ac:dyDescent="0.25">
      <c r="A908" s="229" t="s">
        <v>99</v>
      </c>
      <c r="B908" s="236" t="s">
        <v>388</v>
      </c>
      <c r="C908" s="24"/>
      <c r="D908" s="24"/>
      <c r="E908" s="24"/>
      <c r="F908" s="24"/>
      <c r="G908" s="24"/>
      <c r="H908" s="24"/>
      <c r="J908" s="8"/>
      <c r="K908" s="308" t="s">
        <v>85</v>
      </c>
      <c r="L908" s="40"/>
      <c r="M908" s="1"/>
    </row>
    <row r="909" spans="1:21" ht="15" x14ac:dyDescent="0.25">
      <c r="A909" s="229" t="s">
        <v>102</v>
      </c>
      <c r="B909" s="238" t="str">
        <f>IF(B923="• You have completed all required fields.", "Information entry guidance", "Information entry guidance – see here for help")</f>
        <v>Information entry guidance – see here for help</v>
      </c>
      <c r="C909" s="39"/>
      <c r="D909" s="39"/>
      <c r="E909" s="39"/>
      <c r="F909" s="39"/>
      <c r="G909" s="39"/>
      <c r="H909" s="24"/>
      <c r="K909" s="308" t="s">
        <v>151</v>
      </c>
      <c r="L909" s="40"/>
      <c r="M909" s="1"/>
    </row>
    <row r="910" spans="1:21" ht="15" x14ac:dyDescent="0.25">
      <c r="A910" s="277" t="s">
        <v>104</v>
      </c>
      <c r="B910" s="236" t="s">
        <v>242</v>
      </c>
      <c r="C910" s="24"/>
      <c r="D910" s="24"/>
      <c r="E910" s="24"/>
      <c r="F910" s="24"/>
      <c r="G910" s="24"/>
      <c r="H910" s="24"/>
      <c r="K910" s="308" t="s">
        <v>85</v>
      </c>
      <c r="L910" s="40"/>
      <c r="M910" s="1"/>
    </row>
    <row r="911" spans="1:21" ht="15" x14ac:dyDescent="0.25">
      <c r="A911" s="277" t="s">
        <v>87</v>
      </c>
      <c r="B911" s="403" t="s">
        <v>155</v>
      </c>
      <c r="C911" s="404"/>
      <c r="D911" s="404"/>
      <c r="E911" s="404"/>
      <c r="F911" s="404"/>
      <c r="G911" s="404"/>
      <c r="H911" s="24"/>
      <c r="K911" s="308" t="s">
        <v>85</v>
      </c>
      <c r="L911" s="40"/>
      <c r="M911" s="1"/>
      <c r="T911"/>
      <c r="U911"/>
    </row>
    <row r="912" spans="1:21" ht="15" x14ac:dyDescent="0.25">
      <c r="A912" s="277" t="s">
        <v>110</v>
      </c>
      <c r="B912" s="236" t="s">
        <v>85</v>
      </c>
      <c r="C912" s="24"/>
      <c r="D912" s="24"/>
      <c r="E912" s="24"/>
      <c r="F912" s="24"/>
      <c r="G912" s="24"/>
      <c r="H912" s="24"/>
      <c r="K912" s="308" t="s">
        <v>85</v>
      </c>
      <c r="L912" s="40"/>
      <c r="M912" s="1"/>
      <c r="N912" s="23"/>
      <c r="O912" s="23"/>
      <c r="P912" s="23"/>
      <c r="Q912" s="23"/>
      <c r="R912" s="23"/>
      <c r="S912" s="23"/>
    </row>
    <row r="913" spans="1:21" ht="15" x14ac:dyDescent="0.25">
      <c r="A913" s="277" t="s">
        <v>138</v>
      </c>
      <c r="B913" s="236" t="s">
        <v>85</v>
      </c>
      <c r="C913" s="24"/>
      <c r="D913" s="24"/>
      <c r="E913" s="24"/>
      <c r="F913" s="24"/>
      <c r="G913" s="24"/>
      <c r="H913" s="24"/>
      <c r="K913" s="308" t="s">
        <v>85</v>
      </c>
      <c r="L913" s="40"/>
      <c r="M913" s="1"/>
    </row>
    <row r="914" spans="1:21" ht="15" x14ac:dyDescent="0.25">
      <c r="A914" s="277" t="s">
        <v>140</v>
      </c>
      <c r="B914" s="236" t="s">
        <v>85</v>
      </c>
      <c r="C914" s="24"/>
      <c r="D914" s="24"/>
      <c r="E914" s="24"/>
      <c r="F914" s="24"/>
      <c r="G914" s="24"/>
      <c r="H914" s="24"/>
      <c r="K914" s="308" t="s">
        <v>85</v>
      </c>
      <c r="L914" s="40"/>
      <c r="M914" s="1"/>
    </row>
    <row r="915" spans="1:21" ht="15" x14ac:dyDescent="0.25">
      <c r="A915" s="277" t="s">
        <v>142</v>
      </c>
      <c r="B915" s="236" t="s">
        <v>85</v>
      </c>
      <c r="C915" s="24"/>
      <c r="D915" s="24"/>
      <c r="E915" s="24"/>
      <c r="F915" s="24"/>
      <c r="G915" s="24"/>
      <c r="H915" s="24"/>
      <c r="K915" s="308" t="s">
        <v>85</v>
      </c>
      <c r="L915" s="40"/>
      <c r="M915" s="1"/>
    </row>
    <row r="916" spans="1:21" customFormat="1" ht="30" x14ac:dyDescent="0.25">
      <c r="A916" s="278" t="s">
        <v>144</v>
      </c>
      <c r="B916" s="236" t="str">
        <f>IF(B906=$N$5,"Yes","No")</f>
        <v>No</v>
      </c>
      <c r="C916" s="24"/>
      <c r="D916" s="24"/>
      <c r="E916" s="24"/>
      <c r="F916" s="24"/>
      <c r="G916" s="24"/>
      <c r="H916" s="231"/>
      <c r="I916" s="35"/>
      <c r="J916" s="2"/>
      <c r="K916" s="308" t="s">
        <v>85</v>
      </c>
      <c r="L916" s="40"/>
      <c r="M916" s="1"/>
      <c r="N916" s="2"/>
      <c r="O916" s="2"/>
      <c r="P916" s="2"/>
      <c r="Q916" s="2"/>
      <c r="R916" s="2"/>
      <c r="S916" s="2"/>
      <c r="T916" s="8"/>
      <c r="U916" s="8"/>
    </row>
    <row r="917" spans="1:21" ht="15" x14ac:dyDescent="0.25">
      <c r="A917" s="229" t="s">
        <v>121</v>
      </c>
      <c r="B917" s="403" t="s">
        <v>169</v>
      </c>
      <c r="C917" s="404"/>
      <c r="D917" s="404"/>
      <c r="E917" s="404"/>
      <c r="F917" s="404"/>
      <c r="G917" s="404"/>
      <c r="H917" s="24"/>
      <c r="J917" s="22"/>
      <c r="K917" s="308" t="s">
        <v>85</v>
      </c>
      <c r="L917" s="40"/>
      <c r="M917" s="1"/>
      <c r="N917" s="8"/>
      <c r="O917" s="8"/>
      <c r="P917" s="8"/>
      <c r="Q917" s="8"/>
      <c r="R917" s="8"/>
      <c r="S917" s="8"/>
    </row>
    <row r="918" spans="1:21" ht="15" thickBot="1" x14ac:dyDescent="0.25">
      <c r="A918" s="24"/>
      <c r="B918" s="236"/>
      <c r="C918" s="24"/>
      <c r="D918" s="24"/>
      <c r="E918" s="24"/>
      <c r="F918" s="24"/>
      <c r="G918" s="24"/>
      <c r="H918" s="24"/>
      <c r="K918" s="308" t="s">
        <v>85</v>
      </c>
      <c r="L918" s="40"/>
      <c r="M918" s="1"/>
    </row>
    <row r="919" spans="1:21" ht="15.75" thickBot="1" x14ac:dyDescent="0.3">
      <c r="A919" s="275" t="s">
        <v>389</v>
      </c>
      <c r="B919" s="401" t="s">
        <v>390</v>
      </c>
      <c r="C919" s="402"/>
      <c r="D919" s="402"/>
      <c r="E919" s="402"/>
      <c r="F919" s="402"/>
      <c r="G919" s="402"/>
      <c r="H919" s="402"/>
      <c r="K919" s="308" t="s">
        <v>85</v>
      </c>
      <c r="L919" s="40"/>
      <c r="M919" s="1"/>
    </row>
    <row r="920" spans="1:21" ht="15" x14ac:dyDescent="0.25">
      <c r="A920" s="229" t="s">
        <v>87</v>
      </c>
      <c r="B920" s="236" t="s">
        <v>89</v>
      </c>
      <c r="C920" s="24"/>
      <c r="D920" s="24"/>
      <c r="E920" s="24"/>
      <c r="F920" s="24"/>
      <c r="G920" s="24"/>
      <c r="H920" s="24"/>
      <c r="K920" s="308" t="s">
        <v>85</v>
      </c>
      <c r="L920" s="40"/>
      <c r="M920" s="1"/>
    </row>
    <row r="921" spans="1:21" ht="29.25" x14ac:dyDescent="0.25">
      <c r="A921" s="276"/>
      <c r="B921" s="237" t="str">
        <f>CONCATENATE($O$2&amp;": "&amp;VLOOKUP($B920,$N$4:$U$27,2,0))</f>
        <v>Font: Arial</v>
      </c>
      <c r="C921" s="19" t="str">
        <f>CONCATENATE($P$2&amp;": "&amp;VLOOKUP($B920,$N$4:$U$27,3,0))</f>
        <v>T-face: Dependant</v>
      </c>
      <c r="D921" s="19" t="str">
        <f>CONCATENATE($Q$2&amp;": "&amp;VLOOKUP($B920,$N$4:$U$27,4,0))</f>
        <v>Font size: 11</v>
      </c>
      <c r="E921" s="19" t="str">
        <f>CONCATENATE($R$2&amp;": "&amp;VLOOKUP($B920,$N$4:$U$27,5,0))</f>
        <v>Row height: Dependant</v>
      </c>
      <c r="F921" s="19" t="str">
        <f>CONCATENATE($S$2&amp;": "&amp;VLOOKUP($B920,$N$4:$U$27,6,0))</f>
        <v>Text col: Black</v>
      </c>
      <c r="G921" s="19" t="str">
        <f>CONCATENATE($T$2&amp;": "&amp;VLOOKUP($B920,$N$4:$U$27,7,0))</f>
        <v>BG col: White</v>
      </c>
      <c r="H921" s="19" t="str">
        <f>CONCATENATE($U$2&amp;": "&amp;VLOOKUP($B920,$N$4:$U$27,8,0))</f>
        <v>Just: Left</v>
      </c>
      <c r="K921" s="308" t="s">
        <v>85</v>
      </c>
      <c r="L921" s="40"/>
      <c r="M921" s="1"/>
    </row>
    <row r="922" spans="1:21" ht="15" x14ac:dyDescent="0.25">
      <c r="A922" s="229" t="s">
        <v>99</v>
      </c>
      <c r="B922" s="236" t="s">
        <v>391</v>
      </c>
      <c r="C922" s="24"/>
      <c r="D922" s="24"/>
      <c r="E922" s="24"/>
      <c r="F922" s="24"/>
      <c r="G922" s="24"/>
      <c r="H922" s="24"/>
      <c r="K922" s="308" t="s">
        <v>85</v>
      </c>
      <c r="L922" s="40"/>
      <c r="M922" s="1"/>
    </row>
    <row r="923" spans="1:21" ht="15" x14ac:dyDescent="0.25">
      <c r="A923" s="229" t="s">
        <v>102</v>
      </c>
      <c r="B923" s="426" t="str">
        <f>IF(B430=0,"• You haven't yet completed Step 1 – Loan details. You haven't entered a Total loan amount.",IF(B458=0,"• You haven't yet completed Step 1 – Loan details. You haven't entered a Loan settlement date.",IF(B486=B489,"• You haven't yet completed Step 1 – Loan details. You haven't entered a Loan term.",IF(B555=B558,"• You haven't yet completed Step 1 – Loan details. You haven't answered the question: 'Was any part of the
   loan was used for any other purpose?'",IF(AND(B555=B559,B586=0),"• You haven't completed Loan details correctly. You indicated that part of the loan was used for
   another purpose, but not included the Amount of loan used for another purpose.",IF(AND(B555=B560,B586&lt;&gt;0),"• You haven't completed Loan details correctly. You indicated that part of the loan was NOT used for
   another purpose, but have included a value at Amount of loan used for another purpose.",IF(B615&lt;=0,"• You haven't completed Loan details correctly. You have indicated that the Amount of loan used only for
   rental property purchase is zero or negative. Please correct this.",IF(OR(B895&lt;=0,B895="Invalid data entered!",B867&lt;0,B839&lt;0,B811&lt;0,B783&lt;0,B755&lt;0,B727&lt;0,B699&lt;0),"• Although you have completed the Loan details, you haven't entered any borrowing expenses or not 
    entered them correctly.","• You have completed all required fields."))))))))</f>
        <v>• You haven't yet completed Step 1 – Loan details. You haven't entered a Total loan amount.</v>
      </c>
      <c r="C923" s="427"/>
      <c r="D923" s="427"/>
      <c r="E923" s="427"/>
      <c r="F923" s="427"/>
      <c r="G923" s="427"/>
      <c r="H923" s="24"/>
      <c r="K923" s="308" t="s">
        <v>151</v>
      </c>
      <c r="L923" s="40"/>
      <c r="M923" s="1"/>
    </row>
    <row r="924" spans="1:21" ht="15" x14ac:dyDescent="0.25">
      <c r="A924" s="277" t="s">
        <v>247</v>
      </c>
      <c r="B924" s="242" t="s">
        <v>392</v>
      </c>
      <c r="C924" s="24"/>
      <c r="D924" s="24"/>
      <c r="E924" s="24"/>
      <c r="F924" s="24"/>
      <c r="G924" s="24"/>
      <c r="H924" s="24"/>
      <c r="K924" s="308" t="s">
        <v>85</v>
      </c>
      <c r="L924" s="40"/>
      <c r="M924" s="1"/>
      <c r="T924"/>
      <c r="U924"/>
    </row>
    <row r="925" spans="1:21" ht="15" x14ac:dyDescent="0.25">
      <c r="A925" s="277" t="s">
        <v>87</v>
      </c>
      <c r="B925" s="403" t="s">
        <v>265</v>
      </c>
      <c r="C925" s="404"/>
      <c r="D925" s="404"/>
      <c r="E925" s="404"/>
      <c r="F925" s="404"/>
      <c r="G925" s="404"/>
      <c r="H925" s="24"/>
      <c r="K925" s="308" t="s">
        <v>85</v>
      </c>
      <c r="L925" s="40"/>
      <c r="M925" s="1"/>
      <c r="N925" s="23"/>
      <c r="O925" s="23"/>
      <c r="P925" s="23"/>
      <c r="Q925" s="23"/>
      <c r="R925" s="23"/>
      <c r="S925" s="23"/>
    </row>
    <row r="926" spans="1:21" ht="15" x14ac:dyDescent="0.25">
      <c r="A926" s="277" t="s">
        <v>110</v>
      </c>
      <c r="B926" s="236" t="s">
        <v>85</v>
      </c>
      <c r="C926" s="24"/>
      <c r="D926" s="24"/>
      <c r="E926" s="24"/>
      <c r="F926" s="24"/>
      <c r="G926" s="24"/>
      <c r="H926" s="24"/>
      <c r="K926" s="308" t="s">
        <v>85</v>
      </c>
      <c r="L926" s="40"/>
      <c r="M926" s="1"/>
    </row>
    <row r="927" spans="1:21" ht="15" x14ac:dyDescent="0.25">
      <c r="A927" s="277" t="s">
        <v>138</v>
      </c>
      <c r="B927" s="244" t="s">
        <v>85</v>
      </c>
      <c r="C927" s="24"/>
      <c r="D927" s="24"/>
      <c r="E927" s="24"/>
      <c r="F927" s="24"/>
      <c r="G927" s="24"/>
      <c r="H927" s="24"/>
      <c r="K927" s="308" t="s">
        <v>85</v>
      </c>
      <c r="L927" s="40"/>
      <c r="M927" s="1"/>
    </row>
    <row r="928" spans="1:21" ht="15" x14ac:dyDescent="0.25">
      <c r="A928" s="277" t="s">
        <v>140</v>
      </c>
      <c r="B928" s="413" t="s">
        <v>85</v>
      </c>
      <c r="C928" s="414"/>
      <c r="D928" s="414"/>
      <c r="E928" s="414"/>
      <c r="F928" s="414"/>
      <c r="G928" s="414"/>
      <c r="H928" s="24"/>
      <c r="K928" s="308" t="s">
        <v>85</v>
      </c>
      <c r="L928" s="40"/>
      <c r="M928" s="1"/>
    </row>
    <row r="929" spans="1:21" ht="15" x14ac:dyDescent="0.25">
      <c r="A929" s="277" t="s">
        <v>142</v>
      </c>
      <c r="B929" s="236" t="s">
        <v>85</v>
      </c>
      <c r="C929" s="24"/>
      <c r="D929" s="24"/>
      <c r="E929" s="24"/>
      <c r="F929" s="24"/>
      <c r="G929" s="24"/>
      <c r="H929" s="24"/>
      <c r="K929" s="308" t="s">
        <v>85</v>
      </c>
      <c r="L929" s="40"/>
      <c r="M929" s="1"/>
    </row>
    <row r="930" spans="1:21" ht="30" x14ac:dyDescent="0.25">
      <c r="A930" s="278" t="s">
        <v>144</v>
      </c>
      <c r="B930" s="236" t="str">
        <f>IF(B920=$N$5,"Yes","No")</f>
        <v>No</v>
      </c>
      <c r="C930" s="24"/>
      <c r="D930" s="24"/>
      <c r="E930" s="24"/>
      <c r="F930" s="24"/>
      <c r="G930" s="24"/>
      <c r="H930" s="231"/>
      <c r="K930" s="308" t="s">
        <v>85</v>
      </c>
      <c r="L930" s="40"/>
      <c r="M930" s="1"/>
    </row>
    <row r="931" spans="1:21" ht="15" x14ac:dyDescent="0.25">
      <c r="A931" s="229" t="s">
        <v>121</v>
      </c>
      <c r="B931" s="403" t="s">
        <v>393</v>
      </c>
      <c r="C931" s="404"/>
      <c r="D931" s="404"/>
      <c r="E931" s="404"/>
      <c r="F931" s="404"/>
      <c r="G931" s="404"/>
      <c r="H931" s="24"/>
      <c r="K931" s="308" t="s">
        <v>85</v>
      </c>
      <c r="L931" s="40"/>
      <c r="M931" s="1"/>
    </row>
    <row r="932" spans="1:21" ht="15" thickBot="1" x14ac:dyDescent="0.25">
      <c r="A932" s="24"/>
      <c r="B932" s="236"/>
      <c r="C932" s="24"/>
      <c r="D932" s="24"/>
      <c r="E932" s="24"/>
      <c r="F932" s="24"/>
      <c r="G932" s="24"/>
      <c r="H932" s="24"/>
      <c r="K932" s="308" t="s">
        <v>85</v>
      </c>
      <c r="L932" s="40"/>
      <c r="M932" s="1"/>
    </row>
    <row r="933" spans="1:21" ht="15.75" thickBot="1" x14ac:dyDescent="0.3">
      <c r="A933" s="275" t="s">
        <v>394</v>
      </c>
      <c r="B933" s="401" t="s">
        <v>395</v>
      </c>
      <c r="C933" s="402"/>
      <c r="D933" s="402"/>
      <c r="E933" s="402"/>
      <c r="F933" s="402"/>
      <c r="G933" s="402"/>
      <c r="H933" s="402"/>
      <c r="K933" s="308" t="s">
        <v>85</v>
      </c>
      <c r="L933" s="40"/>
      <c r="M933" s="1"/>
    </row>
    <row r="934" spans="1:21" ht="15" x14ac:dyDescent="0.25">
      <c r="A934" s="229" t="s">
        <v>87</v>
      </c>
      <c r="B934" s="236" t="s">
        <v>131</v>
      </c>
      <c r="C934" s="24"/>
      <c r="D934" s="24"/>
      <c r="E934" s="24"/>
      <c r="F934" s="24"/>
      <c r="G934" s="24"/>
      <c r="H934" s="24"/>
      <c r="K934" s="308" t="s">
        <v>85</v>
      </c>
      <c r="L934" s="40"/>
      <c r="M934" s="1"/>
    </row>
    <row r="935" spans="1:21" s="8" customFormat="1" ht="15" x14ac:dyDescent="0.25">
      <c r="A935" s="276"/>
      <c r="B935" s="237" t="str">
        <f>CONCATENATE($O$2&amp;": "&amp;VLOOKUP($B934,$N$4:$U$27,2,0))</f>
        <v>Font: Arial</v>
      </c>
      <c r="C935" s="19" t="str">
        <f>CONCATENATE($P$2&amp;": "&amp;VLOOKUP($B934,$N$4:$U$27,3,0))</f>
        <v>T-face: Bold</v>
      </c>
      <c r="D935" s="19" t="str">
        <f>CONCATENATE($Q$2&amp;": "&amp;VLOOKUP($B934,$N$4:$U$27,4,0))</f>
        <v>Font size: 16</v>
      </c>
      <c r="E935" s="19" t="str">
        <f>CONCATENATE($R$2&amp;": "&amp;VLOOKUP($B934,$N$4:$U$27,5,0))</f>
        <v>Row height: 40</v>
      </c>
      <c r="F935" s="19" t="str">
        <f>CONCATENATE($S$2&amp;": "&amp;VLOOKUP($B934,$N$4:$U$27,6,0))</f>
        <v>Text col: Blue</v>
      </c>
      <c r="G935" s="19" t="str">
        <f>CONCATENATE($T$2&amp;": "&amp;VLOOKUP($B934,$N$4:$U$27,7,0))</f>
        <v>BG col: White</v>
      </c>
      <c r="H935" s="19" t="str">
        <f>CONCATENATE($U$2&amp;": "&amp;VLOOKUP($B934,$N$4:$U$27,8,0))</f>
        <v>Just: Left</v>
      </c>
      <c r="I935" s="37"/>
      <c r="J935" s="2"/>
      <c r="K935" s="308" t="s">
        <v>85</v>
      </c>
      <c r="L935" s="40"/>
      <c r="M935" s="1"/>
      <c r="N935" s="2"/>
      <c r="O935" s="2"/>
      <c r="P935" s="2"/>
      <c r="Q935" s="2"/>
      <c r="R935" s="2"/>
      <c r="S935" s="2"/>
      <c r="T935" s="2"/>
      <c r="U935" s="2"/>
    </row>
    <row r="936" spans="1:21" ht="15" x14ac:dyDescent="0.25">
      <c r="A936" s="229" t="s">
        <v>99</v>
      </c>
      <c r="B936" s="236" t="s">
        <v>396</v>
      </c>
      <c r="C936" s="24"/>
      <c r="D936" s="24"/>
      <c r="E936" s="24"/>
      <c r="F936" s="24"/>
      <c r="G936" s="24"/>
      <c r="H936" s="24"/>
      <c r="J936" s="8"/>
      <c r="K936" s="308" t="s">
        <v>85</v>
      </c>
      <c r="L936" s="40"/>
      <c r="M936" s="1"/>
    </row>
    <row r="937" spans="1:21" ht="15" x14ac:dyDescent="0.25">
      <c r="A937" s="229" t="s">
        <v>102</v>
      </c>
      <c r="B937" s="407" t="s">
        <v>56</v>
      </c>
      <c r="C937" s="408"/>
      <c r="D937" s="408"/>
      <c r="E937" s="408"/>
      <c r="F937" s="408"/>
      <c r="G937" s="408"/>
      <c r="H937" s="24"/>
      <c r="K937" s="308" t="s">
        <v>151</v>
      </c>
      <c r="L937" s="40"/>
      <c r="M937" s="1"/>
    </row>
    <row r="938" spans="1:21" ht="15" x14ac:dyDescent="0.25">
      <c r="A938" s="277" t="s">
        <v>104</v>
      </c>
      <c r="B938" s="236" t="s">
        <v>242</v>
      </c>
      <c r="C938" s="24"/>
      <c r="D938" s="24"/>
      <c r="E938" s="24"/>
      <c r="F938" s="24"/>
      <c r="G938" s="24"/>
      <c r="H938" s="24"/>
      <c r="K938" s="308" t="s">
        <v>85</v>
      </c>
      <c r="L938" s="40"/>
      <c r="M938" s="1"/>
    </row>
    <row r="939" spans="1:21" ht="15" x14ac:dyDescent="0.25">
      <c r="A939" s="277" t="s">
        <v>87</v>
      </c>
      <c r="B939" s="403" t="s">
        <v>155</v>
      </c>
      <c r="C939" s="404"/>
      <c r="D939" s="404"/>
      <c r="E939" s="404"/>
      <c r="F939" s="404"/>
      <c r="G939" s="404"/>
      <c r="H939" s="24"/>
      <c r="K939" s="308" t="s">
        <v>85</v>
      </c>
      <c r="L939" s="40"/>
      <c r="M939" s="1"/>
      <c r="T939"/>
      <c r="U939"/>
    </row>
    <row r="940" spans="1:21" ht="15" x14ac:dyDescent="0.25">
      <c r="A940" s="277" t="s">
        <v>110</v>
      </c>
      <c r="B940" s="236" t="s">
        <v>85</v>
      </c>
      <c r="C940" s="24"/>
      <c r="D940" s="24"/>
      <c r="E940" s="24"/>
      <c r="F940" s="24"/>
      <c r="G940" s="24"/>
      <c r="H940" s="24"/>
      <c r="K940" s="308" t="s">
        <v>85</v>
      </c>
      <c r="L940" s="40"/>
      <c r="M940" s="1"/>
      <c r="N940" s="23"/>
      <c r="O940" s="23"/>
      <c r="P940" s="23"/>
      <c r="Q940" s="23"/>
      <c r="R940" s="23"/>
      <c r="S940" s="23"/>
    </row>
    <row r="941" spans="1:21" ht="15" x14ac:dyDescent="0.25">
      <c r="A941" s="277" t="s">
        <v>138</v>
      </c>
      <c r="B941" s="236" t="s">
        <v>85</v>
      </c>
      <c r="C941" s="24"/>
      <c r="D941" s="24"/>
      <c r="E941" s="24"/>
      <c r="F941" s="24"/>
      <c r="G941" s="24"/>
      <c r="H941" s="24"/>
      <c r="K941" s="308" t="s">
        <v>85</v>
      </c>
      <c r="L941" s="40"/>
      <c r="M941" s="1"/>
    </row>
    <row r="942" spans="1:21" ht="15" x14ac:dyDescent="0.25">
      <c r="A942" s="277" t="s">
        <v>140</v>
      </c>
      <c r="B942" s="236" t="s">
        <v>85</v>
      </c>
      <c r="C942" s="24"/>
      <c r="D942" s="24"/>
      <c r="E942" s="24"/>
      <c r="F942" s="24"/>
      <c r="G942" s="24"/>
      <c r="H942" s="24"/>
      <c r="K942" s="308" t="s">
        <v>85</v>
      </c>
      <c r="L942" s="40"/>
      <c r="M942" s="1"/>
    </row>
    <row r="943" spans="1:21" ht="15" x14ac:dyDescent="0.25">
      <c r="A943" s="277" t="s">
        <v>142</v>
      </c>
      <c r="B943" s="236" t="s">
        <v>85</v>
      </c>
      <c r="C943" s="24"/>
      <c r="D943" s="24"/>
      <c r="E943" s="24"/>
      <c r="F943" s="24"/>
      <c r="G943" s="24"/>
      <c r="H943" s="24"/>
      <c r="K943" s="308" t="s">
        <v>85</v>
      </c>
      <c r="L943" s="40"/>
      <c r="M943" s="1"/>
    </row>
    <row r="944" spans="1:21" customFormat="1" ht="30" x14ac:dyDescent="0.25">
      <c r="A944" s="278" t="s">
        <v>144</v>
      </c>
      <c r="B944" s="236" t="str">
        <f>IF(B934=$N$5,"Yes","No")</f>
        <v>No</v>
      </c>
      <c r="C944" s="24"/>
      <c r="D944" s="24"/>
      <c r="E944" s="24"/>
      <c r="F944" s="24"/>
      <c r="G944" s="24"/>
      <c r="H944" s="231"/>
      <c r="I944" s="35"/>
      <c r="J944" s="2"/>
      <c r="K944" s="308" t="s">
        <v>85</v>
      </c>
      <c r="L944" s="40"/>
      <c r="M944" s="1"/>
      <c r="N944" s="2"/>
      <c r="O944" s="2"/>
      <c r="P944" s="2"/>
      <c r="Q944" s="2"/>
      <c r="R944" s="2"/>
      <c r="S944" s="2"/>
      <c r="T944" s="8"/>
      <c r="U944" s="8"/>
    </row>
    <row r="945" spans="1:21" ht="15" x14ac:dyDescent="0.25">
      <c r="A945" s="229" t="s">
        <v>121</v>
      </c>
      <c r="B945" s="403" t="s">
        <v>169</v>
      </c>
      <c r="C945" s="404"/>
      <c r="D945" s="404"/>
      <c r="E945" s="404"/>
      <c r="F945" s="404"/>
      <c r="G945" s="404"/>
      <c r="H945" s="24"/>
      <c r="J945" s="22"/>
      <c r="K945" s="308" t="s">
        <v>85</v>
      </c>
      <c r="L945" s="40"/>
      <c r="M945" s="1"/>
      <c r="N945" s="8"/>
      <c r="O945" s="8"/>
      <c r="P945" s="8"/>
      <c r="Q945" s="8"/>
      <c r="R945" s="8"/>
      <c r="S945" s="8"/>
    </row>
    <row r="946" spans="1:21" ht="15" thickBot="1" x14ac:dyDescent="0.25">
      <c r="A946" s="24"/>
      <c r="B946" s="236"/>
      <c r="C946" s="24"/>
      <c r="D946" s="24"/>
      <c r="E946" s="24"/>
      <c r="F946" s="24"/>
      <c r="G946" s="24"/>
      <c r="H946" s="24"/>
      <c r="K946" s="308" t="s">
        <v>85</v>
      </c>
      <c r="L946" s="40"/>
      <c r="M946" s="1"/>
    </row>
    <row r="947" spans="1:21" ht="15.75" thickBot="1" x14ac:dyDescent="0.3">
      <c r="A947" s="275" t="s">
        <v>397</v>
      </c>
      <c r="B947" s="401" t="s">
        <v>395</v>
      </c>
      <c r="C947" s="402"/>
      <c r="D947" s="402"/>
      <c r="E947" s="402"/>
      <c r="F947" s="402"/>
      <c r="G947" s="402"/>
      <c r="H947" s="402"/>
      <c r="K947" s="308" t="s">
        <v>85</v>
      </c>
      <c r="L947" s="40"/>
      <c r="M947" s="1"/>
    </row>
    <row r="948" spans="1:21" ht="15" x14ac:dyDescent="0.25">
      <c r="A948" s="229" t="s">
        <v>87</v>
      </c>
      <c r="B948" s="236" t="s">
        <v>131</v>
      </c>
      <c r="C948" s="24"/>
      <c r="D948" s="24"/>
      <c r="E948" s="24"/>
      <c r="F948" s="24"/>
      <c r="G948" s="24"/>
      <c r="H948" s="24"/>
      <c r="K948" s="308" t="s">
        <v>85</v>
      </c>
      <c r="L948" s="40"/>
      <c r="M948" s="1"/>
    </row>
    <row r="949" spans="1:21" s="8" customFormat="1" ht="15" x14ac:dyDescent="0.25">
      <c r="A949" s="276"/>
      <c r="B949" s="237" t="str">
        <f>CONCATENATE($O$2&amp;": "&amp;VLOOKUP($B948,$N$4:$U$27,2,0))</f>
        <v>Font: Arial</v>
      </c>
      <c r="C949" s="19" t="str">
        <f>CONCATENATE($P$2&amp;": "&amp;VLOOKUP($B948,$N$4:$U$27,3,0))</f>
        <v>T-face: Bold</v>
      </c>
      <c r="D949" s="19" t="str">
        <f>CONCATENATE($Q$2&amp;": "&amp;VLOOKUP($B948,$N$4:$U$27,4,0))</f>
        <v>Font size: 16</v>
      </c>
      <c r="E949" s="19" t="str">
        <f>CONCATENATE($R$2&amp;": "&amp;VLOOKUP($B948,$N$4:$U$27,5,0))</f>
        <v>Row height: 40</v>
      </c>
      <c r="F949" s="19" t="str">
        <f>CONCATENATE($S$2&amp;": "&amp;VLOOKUP($B948,$N$4:$U$27,6,0))</f>
        <v>Text col: Blue</v>
      </c>
      <c r="G949" s="19" t="str">
        <f>CONCATENATE($T$2&amp;": "&amp;VLOOKUP($B948,$N$4:$U$27,7,0))</f>
        <v>BG col: White</v>
      </c>
      <c r="H949" s="19" t="str">
        <f>CONCATENATE($U$2&amp;": "&amp;VLOOKUP($B948,$N$4:$U$27,8,0))</f>
        <v>Just: Left</v>
      </c>
      <c r="I949" s="37"/>
      <c r="J949" s="2"/>
      <c r="K949" s="308" t="s">
        <v>85</v>
      </c>
      <c r="L949" s="40"/>
      <c r="M949" s="1"/>
      <c r="N949" s="2"/>
      <c r="O949" s="2"/>
      <c r="P949" s="2"/>
      <c r="Q949" s="2"/>
      <c r="R949" s="2"/>
      <c r="S949" s="2"/>
      <c r="T949" s="2"/>
      <c r="U949" s="2"/>
    </row>
    <row r="950" spans="1:21" ht="15" x14ac:dyDescent="0.25">
      <c r="A950" s="229" t="s">
        <v>99</v>
      </c>
      <c r="B950" s="236" t="s">
        <v>396</v>
      </c>
      <c r="C950" s="24"/>
      <c r="D950" s="24"/>
      <c r="E950" s="24"/>
      <c r="F950" s="24"/>
      <c r="G950" s="24"/>
      <c r="H950" s="24"/>
      <c r="J950" s="8"/>
      <c r="K950" s="308" t="s">
        <v>85</v>
      </c>
      <c r="L950" s="40"/>
      <c r="M950" s="1"/>
    </row>
    <row r="951" spans="1:21" ht="15" x14ac:dyDescent="0.25">
      <c r="A951" s="229" t="s">
        <v>102</v>
      </c>
      <c r="B951" s="407" t="s">
        <v>398</v>
      </c>
      <c r="C951" s="408"/>
      <c r="D951" s="408"/>
      <c r="E951" s="408"/>
      <c r="F951" s="408"/>
      <c r="G951" s="408"/>
      <c r="H951" s="24"/>
      <c r="K951" s="308" t="s">
        <v>151</v>
      </c>
      <c r="L951" s="40"/>
      <c r="M951" s="1"/>
    </row>
    <row r="952" spans="1:21" ht="15" x14ac:dyDescent="0.25">
      <c r="A952" s="277" t="s">
        <v>104</v>
      </c>
      <c r="B952" s="236" t="s">
        <v>242</v>
      </c>
      <c r="C952" s="24"/>
      <c r="D952" s="24"/>
      <c r="E952" s="24"/>
      <c r="F952" s="24"/>
      <c r="G952" s="24"/>
      <c r="H952" s="24"/>
      <c r="K952" s="308" t="s">
        <v>85</v>
      </c>
      <c r="L952" s="40"/>
      <c r="M952" s="1"/>
    </row>
    <row r="953" spans="1:21" ht="15" x14ac:dyDescent="0.25">
      <c r="A953" s="277" t="s">
        <v>87</v>
      </c>
      <c r="B953" s="403" t="s">
        <v>155</v>
      </c>
      <c r="C953" s="404"/>
      <c r="D953" s="404"/>
      <c r="E953" s="404"/>
      <c r="F953" s="404"/>
      <c r="G953" s="404"/>
      <c r="H953" s="24"/>
      <c r="K953" s="308" t="s">
        <v>85</v>
      </c>
      <c r="L953" s="40"/>
      <c r="M953" s="1"/>
      <c r="T953"/>
      <c r="U953"/>
    </row>
    <row r="954" spans="1:21" ht="15" x14ac:dyDescent="0.25">
      <c r="A954" s="277" t="s">
        <v>110</v>
      </c>
      <c r="B954" s="236" t="s">
        <v>85</v>
      </c>
      <c r="C954" s="24"/>
      <c r="D954" s="24"/>
      <c r="E954" s="24"/>
      <c r="F954" s="24"/>
      <c r="G954" s="24"/>
      <c r="H954" s="24"/>
      <c r="K954" s="308" t="s">
        <v>85</v>
      </c>
      <c r="L954" s="40"/>
      <c r="M954" s="1"/>
      <c r="N954" s="23"/>
      <c r="O954" s="23"/>
      <c r="P954" s="23"/>
      <c r="Q954" s="23"/>
      <c r="R954" s="23"/>
      <c r="S954" s="23"/>
    </row>
    <row r="955" spans="1:21" ht="15" x14ac:dyDescent="0.25">
      <c r="A955" s="277" t="s">
        <v>138</v>
      </c>
      <c r="B955" s="236" t="s">
        <v>85</v>
      </c>
      <c r="C955" s="24"/>
      <c r="D955" s="24"/>
      <c r="E955" s="24"/>
      <c r="F955" s="24"/>
      <c r="G955" s="24"/>
      <c r="H955" s="24"/>
      <c r="K955" s="308" t="s">
        <v>85</v>
      </c>
      <c r="L955" s="40"/>
      <c r="M955" s="1"/>
    </row>
    <row r="956" spans="1:21" ht="15" x14ac:dyDescent="0.25">
      <c r="A956" s="277" t="s">
        <v>140</v>
      </c>
      <c r="B956" s="236" t="s">
        <v>85</v>
      </c>
      <c r="C956" s="24"/>
      <c r="D956" s="24"/>
      <c r="E956" s="24"/>
      <c r="F956" s="24"/>
      <c r="G956" s="24"/>
      <c r="H956" s="24"/>
      <c r="K956" s="308" t="s">
        <v>85</v>
      </c>
      <c r="L956" s="40"/>
      <c r="M956" s="1"/>
    </row>
    <row r="957" spans="1:21" ht="15" x14ac:dyDescent="0.25">
      <c r="A957" s="277" t="s">
        <v>142</v>
      </c>
      <c r="B957" s="236" t="s">
        <v>85</v>
      </c>
      <c r="C957" s="24"/>
      <c r="D957" s="24"/>
      <c r="E957" s="24"/>
      <c r="F957" s="24"/>
      <c r="G957" s="24"/>
      <c r="H957" s="24"/>
      <c r="K957" s="308" t="s">
        <v>85</v>
      </c>
      <c r="L957" s="40"/>
      <c r="M957" s="1"/>
    </row>
    <row r="958" spans="1:21" customFormat="1" ht="30" x14ac:dyDescent="0.25">
      <c r="A958" s="278" t="s">
        <v>144</v>
      </c>
      <c r="B958" s="236" t="str">
        <f>IF(B948=$N$5,"Yes","No")</f>
        <v>No</v>
      </c>
      <c r="C958" s="24"/>
      <c r="D958" s="24"/>
      <c r="E958" s="24"/>
      <c r="F958" s="24"/>
      <c r="G958" s="24"/>
      <c r="H958" s="231"/>
      <c r="I958" s="35"/>
      <c r="J958" s="2"/>
      <c r="K958" s="308" t="s">
        <v>85</v>
      </c>
      <c r="L958" s="40"/>
      <c r="M958" s="1"/>
      <c r="N958" s="2"/>
      <c r="O958" s="2"/>
      <c r="P958" s="2"/>
      <c r="Q958" s="2"/>
      <c r="R958" s="2"/>
      <c r="S958" s="2"/>
      <c r="T958" s="8"/>
      <c r="U958" s="8"/>
    </row>
    <row r="959" spans="1:21" ht="15" x14ac:dyDescent="0.25">
      <c r="A959" s="229" t="s">
        <v>121</v>
      </c>
      <c r="B959" s="403" t="s">
        <v>169</v>
      </c>
      <c r="C959" s="404"/>
      <c r="D959" s="404"/>
      <c r="E959" s="404"/>
      <c r="F959" s="404"/>
      <c r="G959" s="404"/>
      <c r="H959" s="24"/>
      <c r="J959" s="22"/>
      <c r="K959" s="308" t="s">
        <v>85</v>
      </c>
      <c r="L959" s="40"/>
      <c r="M959" s="1"/>
      <c r="N959" s="8"/>
      <c r="O959" s="8"/>
      <c r="P959" s="8"/>
      <c r="Q959" s="8"/>
      <c r="R959" s="8"/>
      <c r="S959" s="8"/>
    </row>
    <row r="960" spans="1:21" ht="15" thickBot="1" x14ac:dyDescent="0.25">
      <c r="A960" s="24"/>
      <c r="B960" s="236"/>
      <c r="C960" s="24"/>
      <c r="D960" s="24"/>
      <c r="E960" s="24"/>
      <c r="F960" s="24"/>
      <c r="G960" s="24"/>
      <c r="H960" s="24"/>
      <c r="K960" s="308" t="s">
        <v>85</v>
      </c>
      <c r="L960" s="40"/>
      <c r="M960" s="1"/>
    </row>
    <row r="961" spans="1:21" ht="15.75" thickBot="1" x14ac:dyDescent="0.3">
      <c r="A961" s="275" t="s">
        <v>399</v>
      </c>
      <c r="B961" s="401" t="s">
        <v>400</v>
      </c>
      <c r="C961" s="402"/>
      <c r="D961" s="402"/>
      <c r="E961" s="402"/>
      <c r="F961" s="402"/>
      <c r="G961" s="402"/>
      <c r="H961" s="402"/>
      <c r="K961" s="308" t="s">
        <v>85</v>
      </c>
      <c r="L961" s="40"/>
      <c r="M961" s="1"/>
    </row>
    <row r="962" spans="1:21" ht="15" x14ac:dyDescent="0.25">
      <c r="A962" s="229" t="s">
        <v>87</v>
      </c>
      <c r="B962" s="236" t="s">
        <v>124</v>
      </c>
      <c r="C962" s="24"/>
      <c r="D962" s="24"/>
      <c r="E962" s="24"/>
      <c r="F962" s="24"/>
      <c r="G962" s="24"/>
      <c r="H962" s="24"/>
      <c r="K962" s="308" t="s">
        <v>85</v>
      </c>
      <c r="L962" s="40"/>
      <c r="M962" s="1"/>
    </row>
    <row r="963" spans="1:21" s="8" customFormat="1" ht="29.25" x14ac:dyDescent="0.25">
      <c r="A963" s="276"/>
      <c r="B963" s="237" t="str">
        <f>CONCATENATE($O$2&amp;": "&amp;VLOOKUP($B962,$N$4:$U$27,2,0))</f>
        <v>Font: Arial</v>
      </c>
      <c r="C963" s="19" t="str">
        <f>CONCATENATE($P$2&amp;": "&amp;VLOOKUP($B962,$N$4:$U$27,3,0))</f>
        <v>T-face: Normal</v>
      </c>
      <c r="D963" s="19" t="str">
        <f>CONCATENATE($Q$2&amp;": "&amp;VLOOKUP($B962,$N$4:$U$27,4,0))</f>
        <v>Font size: 11</v>
      </c>
      <c r="E963" s="19" t="str">
        <f>CONCATENATE($R$2&amp;": "&amp;VLOOKUP($B962,$N$4:$U$27,5,0))</f>
        <v>Row height: 26.5</v>
      </c>
      <c r="F963" s="19" t="str">
        <f>CONCATENATE($S$2&amp;": "&amp;VLOOKUP($B962,$N$4:$U$27,6,0))</f>
        <v>Text col: Black</v>
      </c>
      <c r="G963" s="19" t="str">
        <f>CONCATENATE($T$2&amp;": "&amp;VLOOKUP($B962,$N$4:$U$27,7,0))</f>
        <v>BG col: White</v>
      </c>
      <c r="H963" s="19" t="str">
        <f>CONCATENATE($U$2&amp;": "&amp;VLOOKUP($B962,$N$4:$U$27,8,0))</f>
        <v>Just: Left</v>
      </c>
      <c r="I963" s="37"/>
      <c r="J963" s="2"/>
      <c r="K963" s="308" t="s">
        <v>85</v>
      </c>
      <c r="L963" s="40"/>
      <c r="M963" s="1"/>
      <c r="N963" s="2"/>
      <c r="O963" s="2"/>
      <c r="P963" s="2"/>
      <c r="Q963" s="2"/>
      <c r="R963" s="2"/>
      <c r="S963" s="2"/>
      <c r="T963" s="2"/>
      <c r="U963" s="2"/>
    </row>
    <row r="964" spans="1:21" ht="15" x14ac:dyDescent="0.25">
      <c r="A964" s="229" t="s">
        <v>99</v>
      </c>
      <c r="B964" s="236" t="s">
        <v>381</v>
      </c>
      <c r="C964" s="24"/>
      <c r="D964" s="24"/>
      <c r="E964" s="24"/>
      <c r="F964" s="24"/>
      <c r="G964" s="24"/>
      <c r="H964" s="24"/>
      <c r="J964" s="8"/>
      <c r="K964" s="308" t="s">
        <v>85</v>
      </c>
      <c r="L964" s="40"/>
      <c r="M964" s="1"/>
    </row>
    <row r="965" spans="1:21" ht="15" x14ac:dyDescent="0.25">
      <c r="A965" s="229" t="s">
        <v>102</v>
      </c>
      <c r="B965" s="238" t="str">
        <f>B360</f>
        <v>Property name</v>
      </c>
      <c r="C965" s="39"/>
      <c r="D965" s="39"/>
      <c r="E965" s="39"/>
      <c r="F965" s="39"/>
      <c r="G965" s="39"/>
      <c r="H965" s="24"/>
      <c r="K965" s="308" t="s">
        <v>151</v>
      </c>
      <c r="L965" s="40"/>
      <c r="M965" s="1"/>
    </row>
    <row r="966" spans="1:21" ht="15" x14ac:dyDescent="0.25">
      <c r="A966" s="277" t="s">
        <v>104</v>
      </c>
      <c r="B966" s="236" t="s">
        <v>401</v>
      </c>
      <c r="C966" s="24"/>
      <c r="D966" s="24"/>
      <c r="E966" s="24"/>
      <c r="F966" s="24"/>
      <c r="G966" s="24"/>
      <c r="H966" s="24"/>
      <c r="K966" s="308" t="s">
        <v>85</v>
      </c>
      <c r="L966" s="40"/>
      <c r="M966" s="1"/>
    </row>
    <row r="967" spans="1:21" ht="15" x14ac:dyDescent="0.25">
      <c r="A967" s="277" t="s">
        <v>87</v>
      </c>
      <c r="B967" s="403" t="s">
        <v>155</v>
      </c>
      <c r="C967" s="404"/>
      <c r="D967" s="404"/>
      <c r="E967" s="404"/>
      <c r="F967" s="404"/>
      <c r="G967" s="404"/>
      <c r="H967" s="24"/>
      <c r="K967" s="308" t="s">
        <v>85</v>
      </c>
      <c r="L967" s="40"/>
      <c r="M967" s="1"/>
      <c r="T967"/>
      <c r="U967"/>
    </row>
    <row r="968" spans="1:21" ht="15" x14ac:dyDescent="0.25">
      <c r="A968" s="277" t="s">
        <v>110</v>
      </c>
      <c r="B968" s="236" t="s">
        <v>85</v>
      </c>
      <c r="C968" s="24"/>
      <c r="D968" s="24"/>
      <c r="E968" s="24"/>
      <c r="F968" s="24"/>
      <c r="G968" s="24"/>
      <c r="H968" s="24"/>
      <c r="K968" s="308" t="s">
        <v>85</v>
      </c>
      <c r="L968" s="40"/>
      <c r="M968" s="1"/>
      <c r="N968" s="23"/>
      <c r="O968" s="23"/>
      <c r="P968" s="23"/>
      <c r="Q968" s="23"/>
      <c r="R968" s="23"/>
      <c r="S968" s="23"/>
    </row>
    <row r="969" spans="1:21" ht="15" x14ac:dyDescent="0.25">
      <c r="A969" s="277" t="s">
        <v>138</v>
      </c>
      <c r="B969" s="236" t="s">
        <v>85</v>
      </c>
      <c r="C969" s="24"/>
      <c r="D969" s="24"/>
      <c r="E969" s="24"/>
      <c r="F969" s="24"/>
      <c r="G969" s="24"/>
      <c r="H969" s="24"/>
      <c r="K969" s="308" t="s">
        <v>85</v>
      </c>
      <c r="L969" s="40"/>
      <c r="M969" s="1"/>
    </row>
    <row r="970" spans="1:21" ht="15" x14ac:dyDescent="0.25">
      <c r="A970" s="277" t="s">
        <v>140</v>
      </c>
      <c r="B970" s="236" t="s">
        <v>85</v>
      </c>
      <c r="C970" s="24"/>
      <c r="D970" s="24"/>
      <c r="E970" s="24"/>
      <c r="F970" s="24"/>
      <c r="G970" s="24"/>
      <c r="H970" s="24"/>
      <c r="K970" s="308" t="s">
        <v>85</v>
      </c>
      <c r="L970" s="40"/>
      <c r="M970" s="1"/>
    </row>
    <row r="971" spans="1:21" ht="15" x14ac:dyDescent="0.25">
      <c r="A971" s="277" t="s">
        <v>142</v>
      </c>
      <c r="B971" s="236" t="s">
        <v>85</v>
      </c>
      <c r="C971" s="24"/>
      <c r="D971" s="24"/>
      <c r="E971" s="24"/>
      <c r="F971" s="24"/>
      <c r="G971" s="24"/>
      <c r="H971" s="24"/>
      <c r="K971" s="308" t="s">
        <v>85</v>
      </c>
      <c r="L971" s="40"/>
      <c r="M971" s="1"/>
    </row>
    <row r="972" spans="1:21" customFormat="1" ht="30" x14ac:dyDescent="0.25">
      <c r="A972" s="278" t="s">
        <v>144</v>
      </c>
      <c r="B972" s="236" t="str">
        <f>IF(B962=$N$5,"Yes","No")</f>
        <v>No</v>
      </c>
      <c r="C972" s="24"/>
      <c r="D972" s="24"/>
      <c r="E972" s="24"/>
      <c r="F972" s="24"/>
      <c r="G972" s="24"/>
      <c r="H972" s="231"/>
      <c r="I972" s="35"/>
      <c r="J972" s="2"/>
      <c r="K972" s="308" t="s">
        <v>85</v>
      </c>
      <c r="L972" s="40"/>
      <c r="M972" s="1"/>
      <c r="N972" s="2"/>
      <c r="O972" s="2"/>
      <c r="P972" s="2"/>
      <c r="Q972" s="2"/>
      <c r="R972" s="2"/>
      <c r="S972" s="2"/>
      <c r="T972" s="8"/>
      <c r="U972" s="8"/>
    </row>
    <row r="973" spans="1:21" ht="15" x14ac:dyDescent="0.25">
      <c r="A973" s="229" t="s">
        <v>121</v>
      </c>
      <c r="B973" s="403" t="s">
        <v>169</v>
      </c>
      <c r="C973" s="404"/>
      <c r="D973" s="404"/>
      <c r="E973" s="404"/>
      <c r="F973" s="404"/>
      <c r="G973" s="404"/>
      <c r="H973" s="24"/>
      <c r="J973" s="22"/>
      <c r="K973" s="308" t="s">
        <v>85</v>
      </c>
      <c r="L973" s="40"/>
      <c r="M973" s="1"/>
      <c r="N973" s="8"/>
      <c r="O973" s="8"/>
      <c r="P973" s="8"/>
      <c r="Q973" s="8"/>
      <c r="R973" s="8"/>
      <c r="S973" s="8"/>
    </row>
    <row r="974" spans="1:21" ht="15" thickBot="1" x14ac:dyDescent="0.25">
      <c r="A974" s="24"/>
      <c r="B974" s="236"/>
      <c r="C974" s="24"/>
      <c r="D974" s="24"/>
      <c r="E974" s="24"/>
      <c r="F974" s="24"/>
      <c r="G974" s="24"/>
      <c r="H974" s="24"/>
      <c r="K974" s="308" t="s">
        <v>85</v>
      </c>
      <c r="L974" s="40"/>
      <c r="M974" s="1"/>
    </row>
    <row r="975" spans="1:21" ht="15.75" thickBot="1" x14ac:dyDescent="0.3">
      <c r="A975" s="275" t="s">
        <v>402</v>
      </c>
      <c r="B975" s="401" t="s">
        <v>403</v>
      </c>
      <c r="C975" s="402"/>
      <c r="D975" s="402"/>
      <c r="E975" s="402"/>
      <c r="F975" s="402"/>
      <c r="G975" s="402"/>
      <c r="H975" s="402"/>
      <c r="K975" s="308" t="s">
        <v>85</v>
      </c>
      <c r="L975" s="40"/>
      <c r="M975" s="1"/>
    </row>
    <row r="976" spans="1:21" ht="15" x14ac:dyDescent="0.25">
      <c r="A976" s="229" t="s">
        <v>87</v>
      </c>
      <c r="B976" s="236" t="s">
        <v>89</v>
      </c>
      <c r="C976" s="24"/>
      <c r="D976" s="24"/>
      <c r="E976" s="24"/>
      <c r="F976" s="24"/>
      <c r="G976" s="24"/>
      <c r="H976" s="24"/>
      <c r="K976" s="308" t="s">
        <v>85</v>
      </c>
      <c r="L976" s="40"/>
      <c r="M976" s="1"/>
    </row>
    <row r="977" spans="1:21" ht="29.25" x14ac:dyDescent="0.25">
      <c r="A977" s="276"/>
      <c r="B977" s="237" t="str">
        <f>CONCATENATE($O$2&amp;": "&amp;VLOOKUP($B976,$N$4:$U$27,2,0))</f>
        <v>Font: Arial</v>
      </c>
      <c r="C977" s="19" t="str">
        <f>CONCATENATE($P$2&amp;": "&amp;VLOOKUP($B976,$N$4:$U$27,3,0))</f>
        <v>T-face: Dependant</v>
      </c>
      <c r="D977" s="19" t="str">
        <f>CONCATENATE($Q$2&amp;": "&amp;VLOOKUP($B976,$N$4:$U$27,4,0))</f>
        <v>Font size: 11</v>
      </c>
      <c r="E977" s="19" t="str">
        <f>CONCATENATE($R$2&amp;": "&amp;VLOOKUP($B976,$N$4:$U$27,5,0))</f>
        <v>Row height: Dependant</v>
      </c>
      <c r="F977" s="19" t="str">
        <f>CONCATENATE($S$2&amp;": "&amp;VLOOKUP($B976,$N$4:$U$27,6,0))</f>
        <v>Text col: Black</v>
      </c>
      <c r="G977" s="19" t="str">
        <f>CONCATENATE($T$2&amp;": "&amp;VLOOKUP($B976,$N$4:$U$27,7,0))</f>
        <v>BG col: White</v>
      </c>
      <c r="H977" s="19" t="str">
        <f>CONCATENATE($U$2&amp;": "&amp;VLOOKUP($B976,$N$4:$U$27,8,0))</f>
        <v>Just: Left</v>
      </c>
      <c r="K977" s="308" t="s">
        <v>85</v>
      </c>
      <c r="L977" s="40"/>
      <c r="M977" s="1"/>
    </row>
    <row r="978" spans="1:21" ht="15" x14ac:dyDescent="0.25">
      <c r="A978" s="229" t="s">
        <v>99</v>
      </c>
      <c r="B978" s="236" t="s">
        <v>246</v>
      </c>
      <c r="C978" s="24"/>
      <c r="D978" s="24"/>
      <c r="E978" s="24"/>
      <c r="F978" s="24"/>
      <c r="G978" s="24"/>
      <c r="H978" s="24"/>
      <c r="K978" s="308" t="s">
        <v>85</v>
      </c>
      <c r="L978" s="40"/>
      <c r="M978" s="1"/>
    </row>
    <row r="979" spans="1:21" ht="15" x14ac:dyDescent="0.25">
      <c r="A979" s="229" t="s">
        <v>102</v>
      </c>
      <c r="B979" s="255" t="str">
        <f>B374</f>
        <v/>
      </c>
      <c r="C979" s="82"/>
      <c r="D979" s="82"/>
      <c r="E979" s="82"/>
      <c r="F979" s="82"/>
      <c r="G979" s="82"/>
      <c r="H979" s="24"/>
      <c r="K979" s="308" t="s">
        <v>151</v>
      </c>
      <c r="L979" s="40"/>
      <c r="M979" s="1"/>
    </row>
    <row r="980" spans="1:21" ht="15" x14ac:dyDescent="0.25">
      <c r="A980" s="277" t="s">
        <v>104</v>
      </c>
      <c r="B980" s="242" t="s">
        <v>404</v>
      </c>
      <c r="C980" s="24"/>
      <c r="D980" s="24"/>
      <c r="E980" s="24"/>
      <c r="F980" s="24"/>
      <c r="G980" s="24"/>
      <c r="H980" s="24"/>
      <c r="K980" s="308" t="s">
        <v>85</v>
      </c>
      <c r="L980" s="40"/>
      <c r="M980" s="1"/>
      <c r="T980"/>
      <c r="U980"/>
    </row>
    <row r="981" spans="1:21" ht="15" x14ac:dyDescent="0.25">
      <c r="A981" s="277" t="s">
        <v>87</v>
      </c>
      <c r="B981" s="403" t="s">
        <v>265</v>
      </c>
      <c r="C981" s="404"/>
      <c r="D981" s="404"/>
      <c r="E981" s="404"/>
      <c r="F981" s="404"/>
      <c r="G981" s="404"/>
      <c r="H981" s="24"/>
      <c r="K981" s="308" t="s">
        <v>85</v>
      </c>
      <c r="L981" s="40"/>
      <c r="M981" s="1"/>
      <c r="N981" s="23"/>
      <c r="O981" s="23"/>
      <c r="P981" s="23"/>
      <c r="Q981" s="23"/>
      <c r="R981" s="23"/>
      <c r="S981" s="23"/>
    </row>
    <row r="982" spans="1:21" ht="15" x14ac:dyDescent="0.25">
      <c r="A982" s="277" t="s">
        <v>110</v>
      </c>
      <c r="B982" s="236" t="s">
        <v>85</v>
      </c>
      <c r="C982" s="24"/>
      <c r="D982" s="24"/>
      <c r="E982" s="24"/>
      <c r="F982" s="24"/>
      <c r="G982" s="24"/>
      <c r="H982" s="24"/>
      <c r="K982" s="308" t="s">
        <v>85</v>
      </c>
      <c r="L982" s="40"/>
      <c r="M982" s="1"/>
    </row>
    <row r="983" spans="1:21" ht="15" x14ac:dyDescent="0.25">
      <c r="A983" s="277" t="s">
        <v>138</v>
      </c>
      <c r="B983" s="244" t="s">
        <v>85</v>
      </c>
      <c r="C983" s="24"/>
      <c r="D983" s="24"/>
      <c r="E983" s="24"/>
      <c r="F983" s="24"/>
      <c r="G983" s="24"/>
      <c r="H983" s="24"/>
      <c r="K983" s="308" t="s">
        <v>85</v>
      </c>
      <c r="L983" s="40"/>
      <c r="M983" s="1"/>
    </row>
    <row r="984" spans="1:21" ht="15" x14ac:dyDescent="0.25">
      <c r="A984" s="277" t="s">
        <v>140</v>
      </c>
      <c r="B984" s="413" t="s">
        <v>85</v>
      </c>
      <c r="C984" s="414"/>
      <c r="D984" s="414"/>
      <c r="E984" s="414"/>
      <c r="F984" s="414"/>
      <c r="G984" s="414"/>
      <c r="H984" s="24"/>
      <c r="K984" s="308" t="s">
        <v>85</v>
      </c>
      <c r="L984" s="40"/>
      <c r="M984" s="1"/>
    </row>
    <row r="985" spans="1:21" ht="15" x14ac:dyDescent="0.25">
      <c r="A985" s="277" t="s">
        <v>142</v>
      </c>
      <c r="B985" s="236" t="s">
        <v>85</v>
      </c>
      <c r="C985" s="24"/>
      <c r="D985" s="24"/>
      <c r="E985" s="24"/>
      <c r="F985" s="24"/>
      <c r="G985" s="24"/>
      <c r="H985" s="24"/>
      <c r="K985" s="308" t="s">
        <v>85</v>
      </c>
      <c r="L985" s="40"/>
      <c r="M985" s="1"/>
    </row>
    <row r="986" spans="1:21" ht="30" x14ac:dyDescent="0.25">
      <c r="A986" s="278" t="s">
        <v>144</v>
      </c>
      <c r="B986" s="236" t="str">
        <f>IF(B976=$N$5,"Yes","No")</f>
        <v>No</v>
      </c>
      <c r="C986" s="24"/>
      <c r="D986" s="24"/>
      <c r="E986" s="24"/>
      <c r="F986" s="24"/>
      <c r="G986" s="24"/>
      <c r="H986" s="231"/>
      <c r="K986" s="308" t="s">
        <v>85</v>
      </c>
      <c r="L986" s="40"/>
      <c r="M986" s="1"/>
    </row>
    <row r="987" spans="1:21" ht="15" x14ac:dyDescent="0.25">
      <c r="A987" s="229" t="s">
        <v>121</v>
      </c>
      <c r="B987" s="403" t="s">
        <v>405</v>
      </c>
      <c r="C987" s="404"/>
      <c r="D987" s="404"/>
      <c r="E987" s="404"/>
      <c r="F987" s="404"/>
      <c r="G987" s="404"/>
      <c r="H987" s="24"/>
      <c r="K987" s="308" t="s">
        <v>151</v>
      </c>
      <c r="L987" s="40"/>
      <c r="M987" s="1"/>
    </row>
    <row r="988" spans="1:21" ht="15" thickBot="1" x14ac:dyDescent="0.25">
      <c r="A988" s="24"/>
      <c r="B988" s="236"/>
      <c r="C988" s="24"/>
      <c r="D988" s="24"/>
      <c r="E988" s="24"/>
      <c r="F988" s="24"/>
      <c r="G988" s="24"/>
      <c r="H988" s="24"/>
      <c r="K988" s="308" t="s">
        <v>85</v>
      </c>
      <c r="L988" s="40"/>
      <c r="M988" s="1"/>
    </row>
    <row r="989" spans="1:21" ht="15.75" thickBot="1" x14ac:dyDescent="0.3">
      <c r="A989" s="275" t="s">
        <v>406</v>
      </c>
      <c r="B989" s="401" t="s">
        <v>407</v>
      </c>
      <c r="C989" s="402"/>
      <c r="D989" s="402"/>
      <c r="E989" s="402"/>
      <c r="F989" s="402"/>
      <c r="G989" s="402"/>
      <c r="H989" s="402"/>
      <c r="K989" s="308" t="s">
        <v>85</v>
      </c>
      <c r="L989" s="40"/>
      <c r="M989" s="1"/>
    </row>
    <row r="990" spans="1:21" ht="15" x14ac:dyDescent="0.25">
      <c r="A990" s="229" t="s">
        <v>87</v>
      </c>
      <c r="B990" s="236" t="s">
        <v>124</v>
      </c>
      <c r="C990" s="24"/>
      <c r="D990" s="24"/>
      <c r="E990" s="24"/>
      <c r="F990" s="24"/>
      <c r="G990" s="24"/>
      <c r="H990" s="24"/>
      <c r="K990" s="308" t="s">
        <v>85</v>
      </c>
      <c r="L990" s="40"/>
      <c r="M990" s="1"/>
    </row>
    <row r="991" spans="1:21" s="8" customFormat="1" ht="29.25" x14ac:dyDescent="0.25">
      <c r="A991" s="276"/>
      <c r="B991" s="237" t="str">
        <f>CONCATENATE($O$2&amp;": "&amp;VLOOKUP($B990,$N$4:$U$27,2,0))</f>
        <v>Font: Arial</v>
      </c>
      <c r="C991" s="19" t="str">
        <f>CONCATENATE($P$2&amp;": "&amp;VLOOKUP($B990,$N$4:$U$27,3,0))</f>
        <v>T-face: Normal</v>
      </c>
      <c r="D991" s="19" t="str">
        <f>CONCATENATE($Q$2&amp;": "&amp;VLOOKUP($B990,$N$4:$U$27,4,0))</f>
        <v>Font size: 11</v>
      </c>
      <c r="E991" s="19" t="str">
        <f>CONCATENATE($R$2&amp;": "&amp;VLOOKUP($B990,$N$4:$U$27,5,0))</f>
        <v>Row height: 26.5</v>
      </c>
      <c r="F991" s="19" t="str">
        <f>CONCATENATE($S$2&amp;": "&amp;VLOOKUP($B990,$N$4:$U$27,6,0))</f>
        <v>Text col: Black</v>
      </c>
      <c r="G991" s="19" t="str">
        <f>CONCATENATE($T$2&amp;": "&amp;VLOOKUP($B990,$N$4:$U$27,7,0))</f>
        <v>BG col: White</v>
      </c>
      <c r="H991" s="19" t="str">
        <f>CONCATENATE($U$2&amp;": "&amp;VLOOKUP($B990,$N$4:$U$27,8,0))</f>
        <v>Just: Left</v>
      </c>
      <c r="I991" s="37"/>
      <c r="J991" s="2"/>
      <c r="K991" s="308" t="s">
        <v>85</v>
      </c>
      <c r="L991" s="40"/>
      <c r="M991" s="1"/>
      <c r="N991" s="2"/>
      <c r="O991" s="2"/>
      <c r="P991" s="2"/>
      <c r="Q991" s="2"/>
      <c r="R991" s="2"/>
      <c r="S991" s="2"/>
      <c r="T991" s="2"/>
      <c r="U991" s="2"/>
    </row>
    <row r="992" spans="1:21" ht="15" x14ac:dyDescent="0.25">
      <c r="A992" s="229" t="s">
        <v>99</v>
      </c>
      <c r="B992" s="236" t="s">
        <v>381</v>
      </c>
      <c r="C992" s="24"/>
      <c r="D992" s="24"/>
      <c r="E992" s="24"/>
      <c r="F992" s="24"/>
      <c r="G992" s="24"/>
      <c r="H992" s="24"/>
      <c r="J992" s="8"/>
      <c r="K992" s="308" t="s">
        <v>85</v>
      </c>
      <c r="L992" s="40"/>
      <c r="M992" s="1"/>
    </row>
    <row r="993" spans="1:21" ht="15" x14ac:dyDescent="0.25">
      <c r="A993" s="229" t="s">
        <v>102</v>
      </c>
      <c r="B993" s="407" t="str">
        <f>B388</f>
        <v>Address</v>
      </c>
      <c r="C993" s="408"/>
      <c r="D993" s="408"/>
      <c r="E993" s="408"/>
      <c r="F993" s="408"/>
      <c r="G993" s="408"/>
      <c r="H993" s="24"/>
      <c r="K993" s="308" t="s">
        <v>151</v>
      </c>
      <c r="L993" s="40"/>
      <c r="M993" s="1"/>
    </row>
    <row r="994" spans="1:21" ht="15" x14ac:dyDescent="0.25">
      <c r="A994" s="277" t="s">
        <v>104</v>
      </c>
      <c r="B994" s="236" t="s">
        <v>401</v>
      </c>
      <c r="C994" s="24"/>
      <c r="D994" s="24"/>
      <c r="E994" s="24"/>
      <c r="F994" s="24"/>
      <c r="G994" s="24"/>
      <c r="H994" s="24"/>
      <c r="K994" s="308" t="s">
        <v>85</v>
      </c>
      <c r="L994" s="40"/>
      <c r="M994" s="1"/>
    </row>
    <row r="995" spans="1:21" ht="15" x14ac:dyDescent="0.25">
      <c r="A995" s="277" t="s">
        <v>87</v>
      </c>
      <c r="B995" s="403" t="s">
        <v>155</v>
      </c>
      <c r="C995" s="404"/>
      <c r="D995" s="404"/>
      <c r="E995" s="404"/>
      <c r="F995" s="404"/>
      <c r="G995" s="404"/>
      <c r="H995" s="24"/>
      <c r="K995" s="308" t="s">
        <v>85</v>
      </c>
      <c r="L995" s="40"/>
      <c r="M995" s="1"/>
      <c r="T995"/>
      <c r="U995"/>
    </row>
    <row r="996" spans="1:21" ht="15" x14ac:dyDescent="0.25">
      <c r="A996" s="277" t="s">
        <v>110</v>
      </c>
      <c r="B996" s="236" t="s">
        <v>85</v>
      </c>
      <c r="C996" s="24"/>
      <c r="D996" s="24"/>
      <c r="E996" s="24"/>
      <c r="F996" s="24"/>
      <c r="G996" s="24"/>
      <c r="H996" s="24"/>
      <c r="K996" s="308" t="s">
        <v>85</v>
      </c>
      <c r="L996" s="40"/>
      <c r="M996" s="1"/>
      <c r="N996" s="23"/>
      <c r="O996" s="23"/>
      <c r="P996" s="23"/>
      <c r="Q996" s="23"/>
      <c r="R996" s="23"/>
      <c r="S996" s="23"/>
    </row>
    <row r="997" spans="1:21" ht="15" x14ac:dyDescent="0.25">
      <c r="A997" s="277" t="s">
        <v>138</v>
      </c>
      <c r="B997" s="236" t="s">
        <v>85</v>
      </c>
      <c r="C997" s="24"/>
      <c r="D997" s="24"/>
      <c r="E997" s="24"/>
      <c r="F997" s="24"/>
      <c r="G997" s="24"/>
      <c r="H997" s="24"/>
      <c r="K997" s="308" t="s">
        <v>85</v>
      </c>
      <c r="L997" s="40"/>
      <c r="M997" s="1"/>
    </row>
    <row r="998" spans="1:21" ht="15" x14ac:dyDescent="0.25">
      <c r="A998" s="277" t="s">
        <v>140</v>
      </c>
      <c r="B998" s="236" t="s">
        <v>85</v>
      </c>
      <c r="C998" s="24"/>
      <c r="D998" s="24"/>
      <c r="E998" s="24"/>
      <c r="F998" s="24"/>
      <c r="G998" s="24"/>
      <c r="H998" s="24"/>
      <c r="K998" s="308" t="s">
        <v>85</v>
      </c>
      <c r="L998" s="40"/>
      <c r="M998" s="1"/>
    </row>
    <row r="999" spans="1:21" ht="15" x14ac:dyDescent="0.25">
      <c r="A999" s="277" t="s">
        <v>142</v>
      </c>
      <c r="B999" s="236" t="s">
        <v>85</v>
      </c>
      <c r="C999" s="24"/>
      <c r="D999" s="24"/>
      <c r="E999" s="24"/>
      <c r="F999" s="24"/>
      <c r="G999" s="24"/>
      <c r="H999" s="24"/>
      <c r="K999" s="308" t="s">
        <v>85</v>
      </c>
      <c r="L999" s="40"/>
      <c r="M999" s="1"/>
    </row>
    <row r="1000" spans="1:21" customFormat="1" ht="30" x14ac:dyDescent="0.25">
      <c r="A1000" s="278" t="s">
        <v>144</v>
      </c>
      <c r="B1000" s="236" t="str">
        <f>IF(B990=$N$5,"Yes","No")</f>
        <v>No</v>
      </c>
      <c r="C1000" s="24"/>
      <c r="D1000" s="24"/>
      <c r="E1000" s="24"/>
      <c r="F1000" s="24"/>
      <c r="G1000" s="24"/>
      <c r="H1000" s="231"/>
      <c r="I1000" s="35"/>
      <c r="J1000" s="2"/>
      <c r="K1000" s="308" t="s">
        <v>85</v>
      </c>
      <c r="L1000" s="40"/>
      <c r="M1000" s="1"/>
      <c r="N1000" s="2"/>
      <c r="O1000" s="2"/>
      <c r="P1000" s="2"/>
      <c r="Q1000" s="2"/>
      <c r="R1000" s="2"/>
      <c r="S1000" s="2"/>
      <c r="T1000" s="8"/>
      <c r="U1000" s="8"/>
    </row>
    <row r="1001" spans="1:21" ht="15" x14ac:dyDescent="0.25">
      <c r="A1001" s="229" t="s">
        <v>121</v>
      </c>
      <c r="B1001" s="403" t="s">
        <v>169</v>
      </c>
      <c r="C1001" s="404"/>
      <c r="D1001" s="404"/>
      <c r="E1001" s="404"/>
      <c r="F1001" s="404"/>
      <c r="G1001" s="404"/>
      <c r="H1001" s="24"/>
      <c r="J1001" s="22"/>
      <c r="K1001" s="308" t="s">
        <v>85</v>
      </c>
      <c r="L1001" s="40"/>
      <c r="M1001" s="1"/>
      <c r="N1001" s="8"/>
      <c r="O1001" s="8"/>
      <c r="P1001" s="8"/>
      <c r="Q1001" s="8"/>
      <c r="R1001" s="8"/>
      <c r="S1001" s="8"/>
    </row>
    <row r="1002" spans="1:21" ht="15" thickBot="1" x14ac:dyDescent="0.25">
      <c r="A1002" s="24"/>
      <c r="B1002" s="236"/>
      <c r="C1002" s="24"/>
      <c r="D1002" s="24"/>
      <c r="E1002" s="24"/>
      <c r="F1002" s="24"/>
      <c r="G1002" s="24"/>
      <c r="H1002" s="24"/>
      <c r="K1002" s="308" t="s">
        <v>85</v>
      </c>
      <c r="L1002" s="40"/>
      <c r="M1002" s="1"/>
    </row>
    <row r="1003" spans="1:21" ht="15.75" thickBot="1" x14ac:dyDescent="0.3">
      <c r="A1003" s="275" t="s">
        <v>408</v>
      </c>
      <c r="B1003" s="401" t="s">
        <v>409</v>
      </c>
      <c r="C1003" s="402"/>
      <c r="D1003" s="402"/>
      <c r="E1003" s="402"/>
      <c r="F1003" s="402"/>
      <c r="G1003" s="402"/>
      <c r="H1003" s="402"/>
      <c r="K1003" s="308" t="s">
        <v>85</v>
      </c>
      <c r="L1003" s="40"/>
      <c r="M1003" s="1"/>
    </row>
    <row r="1004" spans="1:21" ht="15" x14ac:dyDescent="0.25">
      <c r="A1004" s="229" t="s">
        <v>87</v>
      </c>
      <c r="B1004" s="236" t="s">
        <v>89</v>
      </c>
      <c r="C1004" s="24"/>
      <c r="D1004" s="24"/>
      <c r="E1004" s="24"/>
      <c r="F1004" s="24"/>
      <c r="G1004" s="24"/>
      <c r="H1004" s="24"/>
      <c r="K1004" s="308" t="s">
        <v>85</v>
      </c>
      <c r="L1004" s="40"/>
      <c r="M1004" s="1"/>
    </row>
    <row r="1005" spans="1:21" ht="29.25" x14ac:dyDescent="0.25">
      <c r="A1005" s="276"/>
      <c r="B1005" s="237" t="str">
        <f>CONCATENATE($O$2&amp;": "&amp;VLOOKUP($B1004,$N$4:$U$27,2,0))</f>
        <v>Font: Arial</v>
      </c>
      <c r="C1005" s="19" t="str">
        <f>CONCATENATE($P$2&amp;": "&amp;VLOOKUP($B1004,$N$4:$U$27,3,0))</f>
        <v>T-face: Dependant</v>
      </c>
      <c r="D1005" s="19" t="str">
        <f>CONCATENATE($Q$2&amp;": "&amp;VLOOKUP($B1004,$N$4:$U$27,4,0))</f>
        <v>Font size: 11</v>
      </c>
      <c r="E1005" s="19" t="str">
        <f>CONCATENATE($R$2&amp;": "&amp;VLOOKUP($B1004,$N$4:$U$27,5,0))</f>
        <v>Row height: Dependant</v>
      </c>
      <c r="F1005" s="19" t="str">
        <f>CONCATENATE($S$2&amp;": "&amp;VLOOKUP($B1004,$N$4:$U$27,6,0))</f>
        <v>Text col: Black</v>
      </c>
      <c r="G1005" s="19" t="str">
        <f>CONCATENATE($T$2&amp;": "&amp;VLOOKUP($B1004,$N$4:$U$27,7,0))</f>
        <v>BG col: White</v>
      </c>
      <c r="H1005" s="19" t="str">
        <f>CONCATENATE($U$2&amp;": "&amp;VLOOKUP($B1004,$N$4:$U$27,8,0))</f>
        <v>Just: Left</v>
      </c>
      <c r="K1005" s="308" t="s">
        <v>85</v>
      </c>
      <c r="L1005" s="40"/>
      <c r="M1005" s="1"/>
    </row>
    <row r="1006" spans="1:21" ht="15" x14ac:dyDescent="0.25">
      <c r="A1006" s="229" t="s">
        <v>99</v>
      </c>
      <c r="B1006" s="236" t="s">
        <v>246</v>
      </c>
      <c r="C1006" s="24"/>
      <c r="D1006" s="24"/>
      <c r="E1006" s="24"/>
      <c r="F1006" s="24"/>
      <c r="G1006" s="24"/>
      <c r="H1006" s="24"/>
      <c r="K1006" s="308" t="s">
        <v>85</v>
      </c>
      <c r="L1006" s="40"/>
      <c r="M1006" s="1"/>
    </row>
    <row r="1007" spans="1:21" ht="15" x14ac:dyDescent="0.25">
      <c r="A1007" s="229" t="s">
        <v>102</v>
      </c>
      <c r="B1007" s="255" t="str">
        <f>B402</f>
        <v/>
      </c>
      <c r="C1007" s="39"/>
      <c r="D1007" s="39"/>
      <c r="E1007" s="39"/>
      <c r="F1007" s="39"/>
      <c r="G1007" s="39"/>
      <c r="H1007" s="24"/>
      <c r="K1007" s="308" t="s">
        <v>151</v>
      </c>
      <c r="L1007" s="40"/>
      <c r="M1007" s="1"/>
    </row>
    <row r="1008" spans="1:21" ht="15" x14ac:dyDescent="0.25">
      <c r="A1008" s="277" t="s">
        <v>104</v>
      </c>
      <c r="B1008" s="242" t="s">
        <v>404</v>
      </c>
      <c r="C1008" s="24"/>
      <c r="D1008" s="24"/>
      <c r="E1008" s="24"/>
      <c r="F1008" s="24"/>
      <c r="G1008" s="24"/>
      <c r="H1008" s="24"/>
      <c r="K1008" s="308" t="s">
        <v>85</v>
      </c>
      <c r="L1008" s="40"/>
      <c r="M1008" s="1"/>
      <c r="T1008"/>
      <c r="U1008"/>
    </row>
    <row r="1009" spans="1:21" ht="15" x14ac:dyDescent="0.25">
      <c r="A1009" s="277" t="s">
        <v>87</v>
      </c>
      <c r="B1009" s="403" t="s">
        <v>265</v>
      </c>
      <c r="C1009" s="404"/>
      <c r="D1009" s="404"/>
      <c r="E1009" s="404"/>
      <c r="F1009" s="404"/>
      <c r="G1009" s="404"/>
      <c r="H1009" s="24"/>
      <c r="K1009" s="308" t="s">
        <v>85</v>
      </c>
      <c r="L1009" s="40"/>
      <c r="M1009" s="1"/>
      <c r="N1009" s="23"/>
      <c r="O1009" s="23"/>
      <c r="P1009" s="23"/>
      <c r="Q1009" s="23"/>
      <c r="R1009" s="23"/>
      <c r="S1009" s="23"/>
    </row>
    <row r="1010" spans="1:21" ht="15" x14ac:dyDescent="0.25">
      <c r="A1010" s="277" t="s">
        <v>110</v>
      </c>
      <c r="B1010" s="236" t="s">
        <v>85</v>
      </c>
      <c r="C1010" s="24"/>
      <c r="D1010" s="24"/>
      <c r="E1010" s="24"/>
      <c r="F1010" s="24"/>
      <c r="G1010" s="24"/>
      <c r="H1010" s="24"/>
      <c r="K1010" s="308" t="s">
        <v>85</v>
      </c>
      <c r="L1010" s="40"/>
      <c r="M1010" s="1"/>
    </row>
    <row r="1011" spans="1:21" ht="15" x14ac:dyDescent="0.25">
      <c r="A1011" s="277" t="s">
        <v>138</v>
      </c>
      <c r="B1011" s="244" t="s">
        <v>85</v>
      </c>
      <c r="C1011" s="24"/>
      <c r="D1011" s="24"/>
      <c r="E1011" s="24"/>
      <c r="F1011" s="24"/>
      <c r="G1011" s="24"/>
      <c r="H1011" s="24"/>
      <c r="K1011" s="308" t="s">
        <v>85</v>
      </c>
      <c r="L1011" s="40"/>
      <c r="M1011" s="1"/>
    </row>
    <row r="1012" spans="1:21" ht="15" x14ac:dyDescent="0.25">
      <c r="A1012" s="277" t="s">
        <v>140</v>
      </c>
      <c r="B1012" s="413" t="s">
        <v>85</v>
      </c>
      <c r="C1012" s="414"/>
      <c r="D1012" s="414"/>
      <c r="E1012" s="414"/>
      <c r="F1012" s="414"/>
      <c r="G1012" s="414"/>
      <c r="H1012" s="24"/>
      <c r="K1012" s="308" t="s">
        <v>85</v>
      </c>
      <c r="L1012" s="40"/>
      <c r="M1012" s="1"/>
    </row>
    <row r="1013" spans="1:21" ht="15" x14ac:dyDescent="0.25">
      <c r="A1013" s="277" t="s">
        <v>142</v>
      </c>
      <c r="B1013" s="236" t="s">
        <v>85</v>
      </c>
      <c r="C1013" s="24"/>
      <c r="D1013" s="24"/>
      <c r="E1013" s="24"/>
      <c r="F1013" s="24"/>
      <c r="G1013" s="24"/>
      <c r="H1013" s="24"/>
      <c r="K1013" s="308" t="s">
        <v>85</v>
      </c>
      <c r="L1013" s="40"/>
      <c r="M1013" s="1"/>
    </row>
    <row r="1014" spans="1:21" ht="30" x14ac:dyDescent="0.25">
      <c r="A1014" s="278" t="s">
        <v>144</v>
      </c>
      <c r="B1014" s="236" t="str">
        <f>IF(B1004=$N$5,"Yes","No")</f>
        <v>No</v>
      </c>
      <c r="C1014" s="24"/>
      <c r="D1014" s="24"/>
      <c r="E1014" s="24"/>
      <c r="F1014" s="24"/>
      <c r="G1014" s="24"/>
      <c r="H1014" s="231"/>
      <c r="K1014" s="308" t="s">
        <v>85</v>
      </c>
      <c r="L1014" s="40"/>
      <c r="M1014" s="1"/>
    </row>
    <row r="1015" spans="1:21" ht="15" x14ac:dyDescent="0.25">
      <c r="A1015" s="229" t="s">
        <v>121</v>
      </c>
      <c r="B1015" s="403" t="s">
        <v>410</v>
      </c>
      <c r="C1015" s="404"/>
      <c r="D1015" s="404"/>
      <c r="E1015" s="404"/>
      <c r="F1015" s="404"/>
      <c r="G1015" s="404"/>
      <c r="H1015" s="24"/>
      <c r="K1015" s="308" t="s">
        <v>151</v>
      </c>
      <c r="L1015" s="40"/>
      <c r="M1015" s="1"/>
    </row>
    <row r="1016" spans="1:21" ht="15" thickBot="1" x14ac:dyDescent="0.25">
      <c r="A1016" s="24"/>
      <c r="B1016" s="236"/>
      <c r="C1016" s="24"/>
      <c r="D1016" s="24"/>
      <c r="E1016" s="24"/>
      <c r="F1016" s="24"/>
      <c r="G1016" s="24"/>
      <c r="H1016" s="24"/>
      <c r="K1016" s="308" t="s">
        <v>85</v>
      </c>
      <c r="L1016" s="40"/>
      <c r="M1016" s="1"/>
    </row>
    <row r="1017" spans="1:21" ht="15.75" thickBot="1" x14ac:dyDescent="0.3">
      <c r="A1017" s="275" t="s">
        <v>411</v>
      </c>
      <c r="B1017" s="401" t="s">
        <v>412</v>
      </c>
      <c r="C1017" s="402"/>
      <c r="D1017" s="402"/>
      <c r="E1017" s="402"/>
      <c r="F1017" s="402"/>
      <c r="G1017" s="402"/>
      <c r="H1017" s="402"/>
      <c r="K1017" s="308" t="s">
        <v>85</v>
      </c>
      <c r="L1017" s="40"/>
      <c r="M1017" s="1"/>
    </row>
    <row r="1018" spans="1:21" ht="15" x14ac:dyDescent="0.25">
      <c r="A1018" s="229" t="s">
        <v>87</v>
      </c>
      <c r="B1018" s="236" t="s">
        <v>124</v>
      </c>
      <c r="C1018" s="24"/>
      <c r="D1018" s="24"/>
      <c r="E1018" s="24"/>
      <c r="F1018" s="24"/>
      <c r="G1018" s="24"/>
      <c r="H1018" s="24"/>
      <c r="K1018" s="308" t="s">
        <v>85</v>
      </c>
      <c r="L1018" s="40"/>
      <c r="M1018" s="1"/>
    </row>
    <row r="1019" spans="1:21" s="8" customFormat="1" ht="29.25" x14ac:dyDescent="0.25">
      <c r="A1019" s="276"/>
      <c r="B1019" s="237" t="str">
        <f>CONCATENATE($O$2&amp;": "&amp;VLOOKUP($B1018,$N$4:$U$27,2,0))</f>
        <v>Font: Arial</v>
      </c>
      <c r="C1019" s="19" t="str">
        <f>CONCATENATE($P$2&amp;": "&amp;VLOOKUP($B1018,$N$4:$U$27,3,0))</f>
        <v>T-face: Normal</v>
      </c>
      <c r="D1019" s="19" t="str">
        <f>CONCATENATE($Q$2&amp;": "&amp;VLOOKUP($B1018,$N$4:$U$27,4,0))</f>
        <v>Font size: 11</v>
      </c>
      <c r="E1019" s="19" t="str">
        <f>CONCATENATE($R$2&amp;": "&amp;VLOOKUP($B1018,$N$4:$U$27,5,0))</f>
        <v>Row height: 26.5</v>
      </c>
      <c r="F1019" s="19" t="str">
        <f>CONCATENATE($S$2&amp;": "&amp;VLOOKUP($B1018,$N$4:$U$27,6,0))</f>
        <v>Text col: Black</v>
      </c>
      <c r="G1019" s="19" t="str">
        <f>CONCATENATE($T$2&amp;": "&amp;VLOOKUP($B1018,$N$4:$U$27,7,0))</f>
        <v>BG col: White</v>
      </c>
      <c r="H1019" s="19" t="str">
        <f>CONCATENATE($U$2&amp;": "&amp;VLOOKUP($B1018,$N$4:$U$27,8,0))</f>
        <v>Just: Left</v>
      </c>
      <c r="I1019" s="37"/>
      <c r="J1019" s="2"/>
      <c r="K1019" s="308" t="s">
        <v>85</v>
      </c>
      <c r="L1019" s="40"/>
      <c r="M1019" s="1"/>
      <c r="N1019" s="2"/>
      <c r="O1019" s="2"/>
      <c r="P1019" s="2"/>
      <c r="Q1019" s="2"/>
      <c r="R1019" s="2"/>
      <c r="S1019" s="2"/>
      <c r="T1019" s="2"/>
      <c r="U1019" s="2"/>
    </row>
    <row r="1020" spans="1:21" ht="15" x14ac:dyDescent="0.25">
      <c r="A1020" s="229" t="s">
        <v>99</v>
      </c>
      <c r="B1020" s="236" t="s">
        <v>413</v>
      </c>
      <c r="C1020" s="24"/>
      <c r="D1020" s="24"/>
      <c r="E1020" s="24"/>
      <c r="F1020" s="24"/>
      <c r="G1020" s="24"/>
      <c r="H1020" s="24"/>
      <c r="J1020" s="8"/>
      <c r="K1020" s="308" t="s">
        <v>85</v>
      </c>
      <c r="L1020" s="40"/>
      <c r="M1020" s="1"/>
    </row>
    <row r="1021" spans="1:21" ht="15" x14ac:dyDescent="0.25">
      <c r="A1021" s="229" t="s">
        <v>102</v>
      </c>
      <c r="B1021" s="407" t="s">
        <v>414</v>
      </c>
      <c r="C1021" s="408"/>
      <c r="D1021" s="408"/>
      <c r="E1021" s="408"/>
      <c r="F1021" s="408"/>
      <c r="G1021" s="408"/>
      <c r="H1021" s="24"/>
      <c r="K1021" s="308" t="s">
        <v>151</v>
      </c>
      <c r="L1021" s="40"/>
      <c r="M1021" s="1"/>
    </row>
    <row r="1022" spans="1:21" ht="15" x14ac:dyDescent="0.25">
      <c r="A1022" s="277" t="s">
        <v>104</v>
      </c>
      <c r="B1022" s="236" t="s">
        <v>236</v>
      </c>
      <c r="C1022" s="24"/>
      <c r="D1022" s="24"/>
      <c r="E1022" s="24"/>
      <c r="F1022" s="24"/>
      <c r="G1022" s="24"/>
      <c r="H1022" s="24"/>
      <c r="K1022" s="308" t="s">
        <v>85</v>
      </c>
      <c r="L1022" s="40"/>
      <c r="M1022" s="1"/>
    </row>
    <row r="1023" spans="1:21" ht="15" x14ac:dyDescent="0.25">
      <c r="A1023" s="277" t="s">
        <v>87</v>
      </c>
      <c r="B1023" s="403" t="s">
        <v>155</v>
      </c>
      <c r="C1023" s="404"/>
      <c r="D1023" s="404"/>
      <c r="E1023" s="404"/>
      <c r="F1023" s="404"/>
      <c r="G1023" s="404"/>
      <c r="H1023" s="24"/>
      <c r="K1023" s="308" t="s">
        <v>85</v>
      </c>
      <c r="L1023" s="40"/>
      <c r="M1023" s="1"/>
      <c r="T1023"/>
      <c r="U1023"/>
    </row>
    <row r="1024" spans="1:21" ht="15" x14ac:dyDescent="0.25">
      <c r="A1024" s="277" t="s">
        <v>110</v>
      </c>
      <c r="B1024" s="236" t="s">
        <v>85</v>
      </c>
      <c r="C1024" s="24"/>
      <c r="D1024" s="24"/>
      <c r="E1024" s="24"/>
      <c r="F1024" s="24"/>
      <c r="G1024" s="24"/>
      <c r="H1024" s="24"/>
      <c r="K1024" s="308" t="s">
        <v>85</v>
      </c>
      <c r="L1024" s="40"/>
      <c r="M1024" s="1"/>
      <c r="N1024" s="23"/>
      <c r="O1024" s="23"/>
      <c r="P1024" s="23"/>
      <c r="Q1024" s="23"/>
      <c r="R1024" s="23"/>
      <c r="S1024" s="23"/>
    </row>
    <row r="1025" spans="1:21" ht="15" x14ac:dyDescent="0.25">
      <c r="A1025" s="277" t="s">
        <v>138</v>
      </c>
      <c r="B1025" s="236" t="s">
        <v>85</v>
      </c>
      <c r="C1025" s="24"/>
      <c r="D1025" s="24"/>
      <c r="E1025" s="24"/>
      <c r="F1025" s="24"/>
      <c r="G1025" s="24"/>
      <c r="H1025" s="24"/>
      <c r="K1025" s="308" t="s">
        <v>85</v>
      </c>
      <c r="L1025" s="40"/>
      <c r="M1025" s="1"/>
    </row>
    <row r="1026" spans="1:21" ht="15" x14ac:dyDescent="0.25">
      <c r="A1026" s="277" t="s">
        <v>140</v>
      </c>
      <c r="B1026" s="236" t="s">
        <v>85</v>
      </c>
      <c r="C1026" s="24"/>
      <c r="D1026" s="24"/>
      <c r="E1026" s="24"/>
      <c r="F1026" s="24"/>
      <c r="G1026" s="24"/>
      <c r="H1026" s="24"/>
      <c r="K1026" s="308" t="s">
        <v>85</v>
      </c>
      <c r="L1026" s="40"/>
      <c r="M1026" s="1"/>
    </row>
    <row r="1027" spans="1:21" ht="15" x14ac:dyDescent="0.25">
      <c r="A1027" s="277" t="s">
        <v>142</v>
      </c>
      <c r="B1027" s="236" t="s">
        <v>85</v>
      </c>
      <c r="C1027" s="24"/>
      <c r="D1027" s="24"/>
      <c r="E1027" s="24"/>
      <c r="F1027" s="24"/>
      <c r="G1027" s="24"/>
      <c r="H1027" s="24"/>
      <c r="K1027" s="308" t="s">
        <v>85</v>
      </c>
      <c r="L1027" s="40"/>
      <c r="M1027" s="1"/>
    </row>
    <row r="1028" spans="1:21" customFormat="1" ht="30" x14ac:dyDescent="0.25">
      <c r="A1028" s="278" t="s">
        <v>144</v>
      </c>
      <c r="B1028" s="236" t="str">
        <f>IF(B1018=$N$5,"Yes","No")</f>
        <v>No</v>
      </c>
      <c r="C1028" s="24"/>
      <c r="D1028" s="24"/>
      <c r="E1028" s="24"/>
      <c r="F1028" s="24"/>
      <c r="G1028" s="24"/>
      <c r="H1028" s="231"/>
      <c r="I1028" s="35"/>
      <c r="J1028" s="2"/>
      <c r="K1028" s="308" t="s">
        <v>85</v>
      </c>
      <c r="L1028" s="40"/>
      <c r="M1028" s="1"/>
      <c r="N1028" s="2"/>
      <c r="O1028" s="2"/>
      <c r="P1028" s="2"/>
      <c r="Q1028" s="2"/>
      <c r="R1028" s="2"/>
      <c r="S1028" s="2"/>
      <c r="T1028" s="8"/>
      <c r="U1028" s="8"/>
    </row>
    <row r="1029" spans="1:21" ht="15" x14ac:dyDescent="0.25">
      <c r="A1029" s="229" t="s">
        <v>121</v>
      </c>
      <c r="B1029" s="403" t="s">
        <v>169</v>
      </c>
      <c r="C1029" s="404"/>
      <c r="D1029" s="404"/>
      <c r="E1029" s="404"/>
      <c r="F1029" s="404"/>
      <c r="G1029" s="404"/>
      <c r="H1029" s="24"/>
      <c r="J1029" s="22"/>
      <c r="K1029" s="308" t="s">
        <v>85</v>
      </c>
      <c r="L1029" s="40"/>
      <c r="M1029" s="1"/>
      <c r="N1029" s="8"/>
      <c r="O1029" s="8"/>
      <c r="P1029" s="8"/>
      <c r="Q1029" s="8"/>
      <c r="R1029" s="8"/>
      <c r="S1029" s="8"/>
    </row>
    <row r="1030" spans="1:21" ht="15" thickBot="1" x14ac:dyDescent="0.25">
      <c r="A1030" s="24"/>
      <c r="B1030" s="236"/>
      <c r="C1030" s="24"/>
      <c r="D1030" s="24"/>
      <c r="E1030" s="24"/>
      <c r="F1030" s="24"/>
      <c r="G1030" s="24"/>
      <c r="H1030" s="24"/>
      <c r="K1030" s="308" t="s">
        <v>85</v>
      </c>
      <c r="L1030" s="40"/>
      <c r="M1030" s="1"/>
    </row>
    <row r="1031" spans="1:21" ht="15.75" thickBot="1" x14ac:dyDescent="0.3">
      <c r="A1031" s="275" t="s">
        <v>415</v>
      </c>
      <c r="B1031" s="401" t="s">
        <v>416</v>
      </c>
      <c r="C1031" s="402"/>
      <c r="D1031" s="402"/>
      <c r="E1031" s="402"/>
      <c r="F1031" s="402"/>
      <c r="G1031" s="402"/>
      <c r="H1031" s="402"/>
      <c r="K1031" s="308" t="s">
        <v>85</v>
      </c>
      <c r="L1031" s="40"/>
      <c r="M1031" s="1"/>
    </row>
    <row r="1032" spans="1:21" ht="15" x14ac:dyDescent="0.25">
      <c r="A1032" s="229" t="s">
        <v>87</v>
      </c>
      <c r="B1032" s="236" t="s">
        <v>89</v>
      </c>
      <c r="C1032" s="24"/>
      <c r="D1032" s="24"/>
      <c r="E1032" s="24"/>
      <c r="F1032" s="24"/>
      <c r="G1032" s="24"/>
      <c r="H1032" s="24"/>
      <c r="K1032" s="308" t="s">
        <v>85</v>
      </c>
      <c r="L1032" s="40"/>
      <c r="M1032" s="1"/>
    </row>
    <row r="1033" spans="1:21" ht="29.25" x14ac:dyDescent="0.25">
      <c r="A1033" s="276"/>
      <c r="B1033" s="237" t="str">
        <f>CONCATENATE($O$2&amp;": "&amp;VLOOKUP($B1032,$N$4:$U$27,2,0))</f>
        <v>Font: Arial</v>
      </c>
      <c r="C1033" s="19" t="str">
        <f>CONCATENATE($P$2&amp;": "&amp;VLOOKUP($B1032,$N$4:$U$27,3,0))</f>
        <v>T-face: Dependant</v>
      </c>
      <c r="D1033" s="19" t="str">
        <f>CONCATENATE($Q$2&amp;": "&amp;VLOOKUP($B1032,$N$4:$U$27,4,0))</f>
        <v>Font size: 11</v>
      </c>
      <c r="E1033" s="19" t="str">
        <f>CONCATENATE($R$2&amp;": "&amp;VLOOKUP($B1032,$N$4:$U$27,5,0))</f>
        <v>Row height: Dependant</v>
      </c>
      <c r="F1033" s="19" t="str">
        <f>CONCATENATE($S$2&amp;": "&amp;VLOOKUP($B1032,$N$4:$U$27,6,0))</f>
        <v>Text col: Black</v>
      </c>
      <c r="G1033" s="19" t="str">
        <f>CONCATENATE($T$2&amp;": "&amp;VLOOKUP($B1032,$N$4:$U$27,7,0))</f>
        <v>BG col: White</v>
      </c>
      <c r="H1033" s="19" t="str">
        <f>CONCATENATE($U$2&amp;": "&amp;VLOOKUP($B1032,$N$4:$U$27,8,0))</f>
        <v>Just: Left</v>
      </c>
      <c r="K1033" s="308" t="s">
        <v>85</v>
      </c>
      <c r="L1033" s="40"/>
      <c r="M1033" s="1"/>
    </row>
    <row r="1034" spans="1:21" ht="15" x14ac:dyDescent="0.25">
      <c r="A1034" s="229" t="s">
        <v>99</v>
      </c>
      <c r="B1034" s="236" t="s">
        <v>417</v>
      </c>
      <c r="C1034" s="24"/>
      <c r="D1034" s="24"/>
      <c r="E1034" s="24"/>
      <c r="F1034" s="24"/>
      <c r="G1034" s="24"/>
      <c r="H1034" s="24"/>
      <c r="K1034" s="308" t="s">
        <v>85</v>
      </c>
      <c r="L1034" s="40"/>
      <c r="M1034" s="1"/>
    </row>
    <row r="1035" spans="1:21" ht="15" x14ac:dyDescent="0.25">
      <c r="A1035" s="229" t="s">
        <v>102</v>
      </c>
      <c r="B1035" s="411" t="str">
        <f>IF(B1077="• You haven't correctly completed Step1 - Loan details or Step 2 - Borrowing expenses so we can't calculate
  any claim amounts. Check Information entry guidance for more information.","",CONCATENATE("($",TEXT(B895,"#,#0.00")," × $",TEXT(B621,"##,###,##0.00")," ÷ $",TEXT(B430,"##,###,##0.00"),")"))</f>
        <v>($0.00 × $0.00 ÷ $0.00)</v>
      </c>
      <c r="C1035" s="412"/>
      <c r="D1035" s="412"/>
      <c r="E1035" s="412"/>
      <c r="F1035" s="412"/>
      <c r="G1035" s="412"/>
      <c r="H1035" s="24"/>
      <c r="K1035" s="308" t="s">
        <v>151</v>
      </c>
      <c r="L1035" s="40"/>
      <c r="M1035" s="1"/>
    </row>
    <row r="1036" spans="1:21" ht="15" x14ac:dyDescent="0.25">
      <c r="A1036" s="277" t="s">
        <v>104</v>
      </c>
      <c r="B1036" s="242" t="s">
        <v>404</v>
      </c>
      <c r="C1036" s="24"/>
      <c r="D1036" s="24"/>
      <c r="E1036" s="24"/>
      <c r="F1036" s="24"/>
      <c r="G1036" s="24"/>
      <c r="H1036" s="24"/>
      <c r="K1036" s="308" t="s">
        <v>85</v>
      </c>
      <c r="L1036" s="40"/>
      <c r="M1036" s="1"/>
      <c r="T1036"/>
      <c r="U1036"/>
    </row>
    <row r="1037" spans="1:21" ht="15" x14ac:dyDescent="0.25">
      <c r="A1037" s="277" t="s">
        <v>87</v>
      </c>
      <c r="B1037" s="403" t="s">
        <v>265</v>
      </c>
      <c r="C1037" s="404"/>
      <c r="D1037" s="404"/>
      <c r="E1037" s="404"/>
      <c r="F1037" s="404"/>
      <c r="G1037" s="404"/>
      <c r="H1037" s="24"/>
      <c r="K1037" s="308" t="s">
        <v>85</v>
      </c>
      <c r="L1037" s="40"/>
      <c r="M1037" s="1"/>
      <c r="N1037" s="23"/>
      <c r="O1037" s="23"/>
      <c r="P1037" s="23"/>
      <c r="Q1037" s="23"/>
      <c r="R1037" s="23"/>
      <c r="S1037" s="23"/>
    </row>
    <row r="1038" spans="1:21" ht="15" x14ac:dyDescent="0.25">
      <c r="A1038" s="277" t="s">
        <v>110</v>
      </c>
      <c r="B1038" s="236" t="s">
        <v>85</v>
      </c>
      <c r="C1038" s="24"/>
      <c r="D1038" s="24"/>
      <c r="E1038" s="24"/>
      <c r="F1038" s="24"/>
      <c r="G1038" s="24"/>
      <c r="H1038" s="24"/>
      <c r="K1038" s="308" t="s">
        <v>85</v>
      </c>
      <c r="L1038" s="40"/>
      <c r="M1038" s="1"/>
    </row>
    <row r="1039" spans="1:21" ht="15" x14ac:dyDescent="0.25">
      <c r="A1039" s="277" t="s">
        <v>138</v>
      </c>
      <c r="B1039" s="244" t="s">
        <v>85</v>
      </c>
      <c r="C1039" s="24"/>
      <c r="D1039" s="24"/>
      <c r="E1039" s="24"/>
      <c r="F1039" s="24"/>
      <c r="G1039" s="24"/>
      <c r="H1039" s="24"/>
      <c r="K1039" s="308" t="s">
        <v>85</v>
      </c>
      <c r="L1039" s="40"/>
      <c r="M1039" s="1"/>
      <c r="P1039" s="147"/>
      <c r="Q1039" s="147"/>
    </row>
    <row r="1040" spans="1:21" ht="15" x14ac:dyDescent="0.25">
      <c r="A1040" s="277" t="s">
        <v>140</v>
      </c>
      <c r="B1040" s="413" t="s">
        <v>85</v>
      </c>
      <c r="C1040" s="414"/>
      <c r="D1040" s="414"/>
      <c r="E1040" s="414"/>
      <c r="F1040" s="414"/>
      <c r="G1040" s="414"/>
      <c r="H1040" s="24"/>
      <c r="K1040" s="308" t="s">
        <v>85</v>
      </c>
      <c r="L1040" s="40"/>
      <c r="M1040" s="1"/>
    </row>
    <row r="1041" spans="1:21" ht="15" x14ac:dyDescent="0.25">
      <c r="A1041" s="277" t="s">
        <v>142</v>
      </c>
      <c r="B1041" s="236" t="s">
        <v>85</v>
      </c>
      <c r="C1041" s="24"/>
      <c r="D1041" s="24"/>
      <c r="E1041" s="24"/>
      <c r="F1041" s="24"/>
      <c r="G1041" s="24"/>
      <c r="H1041" s="24"/>
      <c r="K1041" s="308" t="s">
        <v>85</v>
      </c>
      <c r="L1041" s="40"/>
      <c r="M1041" s="1"/>
    </row>
    <row r="1042" spans="1:21" ht="30" x14ac:dyDescent="0.25">
      <c r="A1042" s="278" t="s">
        <v>144</v>
      </c>
      <c r="B1042" s="236" t="str">
        <f>IF(B1032=$N$5,"Yes","No")</f>
        <v>No</v>
      </c>
      <c r="C1042" s="24"/>
      <c r="D1042" s="24"/>
      <c r="E1042" s="24"/>
      <c r="F1042" s="24"/>
      <c r="G1042" s="24"/>
      <c r="H1042" s="231"/>
      <c r="K1042" s="308" t="s">
        <v>85</v>
      </c>
      <c r="L1042" s="40"/>
      <c r="M1042" s="1"/>
    </row>
    <row r="1043" spans="1:21" ht="15" x14ac:dyDescent="0.25">
      <c r="A1043" s="229" t="s">
        <v>121</v>
      </c>
      <c r="B1043" s="403" t="s">
        <v>418</v>
      </c>
      <c r="C1043" s="404"/>
      <c r="D1043" s="404"/>
      <c r="E1043" s="404"/>
      <c r="F1043" s="404"/>
      <c r="G1043" s="404"/>
      <c r="H1043" s="24"/>
      <c r="K1043" s="308" t="s">
        <v>151</v>
      </c>
      <c r="L1043" s="40"/>
      <c r="M1043" s="1"/>
    </row>
    <row r="1044" spans="1:21" ht="15" thickBot="1" x14ac:dyDescent="0.25">
      <c r="A1044" s="24"/>
      <c r="B1044" s="236"/>
      <c r="C1044" s="24"/>
      <c r="D1044" s="24"/>
      <c r="E1044" s="24"/>
      <c r="F1044" s="24"/>
      <c r="G1044" s="24"/>
      <c r="H1044" s="24"/>
      <c r="K1044" s="308" t="s">
        <v>85</v>
      </c>
      <c r="L1044" s="40"/>
      <c r="M1044" s="1"/>
    </row>
    <row r="1045" spans="1:21" ht="15.75" thickBot="1" x14ac:dyDescent="0.3">
      <c r="A1045" s="275" t="s">
        <v>419</v>
      </c>
      <c r="B1045" s="401" t="s">
        <v>416</v>
      </c>
      <c r="C1045" s="402"/>
      <c r="D1045" s="402"/>
      <c r="E1045" s="402"/>
      <c r="F1045" s="402"/>
      <c r="G1045" s="402"/>
      <c r="H1045" s="402"/>
      <c r="K1045" s="308" t="s">
        <v>85</v>
      </c>
      <c r="L1045" s="40"/>
      <c r="M1045" s="1"/>
    </row>
    <row r="1046" spans="1:21" ht="15" x14ac:dyDescent="0.25">
      <c r="A1046" s="229" t="s">
        <v>87</v>
      </c>
      <c r="B1046" s="236" t="s">
        <v>89</v>
      </c>
      <c r="C1046" s="24"/>
      <c r="D1046" s="24"/>
      <c r="E1046" s="24"/>
      <c r="F1046" s="24"/>
      <c r="G1046" s="24"/>
      <c r="H1046" s="24"/>
      <c r="K1046" s="308" t="s">
        <v>85</v>
      </c>
      <c r="L1046" s="40"/>
      <c r="M1046" s="1"/>
    </row>
    <row r="1047" spans="1:21" ht="29.25" x14ac:dyDescent="0.25">
      <c r="A1047" s="276"/>
      <c r="B1047" s="237" t="str">
        <f>CONCATENATE($O$2&amp;": "&amp;VLOOKUP($B1046,$N$4:$U$27,2,0))</f>
        <v>Font: Arial</v>
      </c>
      <c r="C1047" s="19" t="str">
        <f>CONCATENATE($P$2&amp;": "&amp;VLOOKUP($B1046,$N$4:$U$27,3,0))</f>
        <v>T-face: Dependant</v>
      </c>
      <c r="D1047" s="19" t="str">
        <f>CONCATENATE($Q$2&amp;": "&amp;VLOOKUP($B1046,$N$4:$U$27,4,0))</f>
        <v>Font size: 11</v>
      </c>
      <c r="E1047" s="19" t="str">
        <f>CONCATENATE($R$2&amp;": "&amp;VLOOKUP($B1046,$N$4:$U$27,5,0))</f>
        <v>Row height: Dependant</v>
      </c>
      <c r="F1047" s="19" t="str">
        <f>CONCATENATE($S$2&amp;": "&amp;VLOOKUP($B1046,$N$4:$U$27,6,0))</f>
        <v>Text col: Black</v>
      </c>
      <c r="G1047" s="19" t="str">
        <f>CONCATENATE($T$2&amp;": "&amp;VLOOKUP($B1046,$N$4:$U$27,7,0))</f>
        <v>BG col: White</v>
      </c>
      <c r="H1047" s="19" t="str">
        <f>CONCATENATE($U$2&amp;": "&amp;VLOOKUP($B1046,$N$4:$U$27,8,0))</f>
        <v>Just: Left</v>
      </c>
      <c r="K1047" s="308" t="s">
        <v>85</v>
      </c>
      <c r="L1047" s="40"/>
      <c r="M1047" s="1"/>
    </row>
    <row r="1048" spans="1:21" ht="15" x14ac:dyDescent="0.25">
      <c r="A1048" s="229" t="s">
        <v>99</v>
      </c>
      <c r="B1048" s="236" t="s">
        <v>417</v>
      </c>
      <c r="C1048" s="24"/>
      <c r="D1048" s="24"/>
      <c r="E1048" s="24"/>
      <c r="F1048" s="24"/>
      <c r="G1048" s="24"/>
      <c r="H1048" s="24"/>
      <c r="K1048" s="308" t="s">
        <v>85</v>
      </c>
      <c r="L1048" s="40"/>
      <c r="M1048" s="1"/>
    </row>
    <row r="1049" spans="1:21" ht="15" x14ac:dyDescent="0.25">
      <c r="A1049" s="229" t="s">
        <v>102</v>
      </c>
      <c r="B1049" s="256">
        <f>IFERROR(IF(OR(B430=0,B458=0,B486=B489,BB555=B558,AND(B555=B559,B586=0),AND(B555=B560,B586&gt;0),B621&lt;0,B895&lt;0),0,B895*(B621/B430)),"Invalid data entered!")</f>
        <v>0</v>
      </c>
      <c r="C1049" s="66"/>
      <c r="D1049" s="66"/>
      <c r="E1049" s="66"/>
      <c r="F1049" s="66"/>
      <c r="G1049" s="66"/>
      <c r="H1049" s="24"/>
      <c r="K1049" s="308" t="s">
        <v>151</v>
      </c>
      <c r="L1049" s="40"/>
      <c r="M1049" s="1"/>
    </row>
    <row r="1050" spans="1:21" ht="15" x14ac:dyDescent="0.25">
      <c r="A1050" s="277" t="s">
        <v>104</v>
      </c>
      <c r="B1050" s="242" t="s">
        <v>404</v>
      </c>
      <c r="C1050" s="24"/>
      <c r="D1050" s="24"/>
      <c r="E1050" s="24"/>
      <c r="F1050" s="24"/>
      <c r="G1050" s="24"/>
      <c r="H1050" s="24"/>
      <c r="K1050" s="308" t="s">
        <v>85</v>
      </c>
      <c r="L1050" s="40"/>
      <c r="M1050" s="1"/>
      <c r="T1050"/>
      <c r="U1050"/>
    </row>
    <row r="1051" spans="1:21" ht="15" x14ac:dyDescent="0.25">
      <c r="A1051" s="277" t="s">
        <v>87</v>
      </c>
      <c r="B1051" s="403" t="s">
        <v>265</v>
      </c>
      <c r="C1051" s="404"/>
      <c r="D1051" s="404"/>
      <c r="E1051" s="404"/>
      <c r="F1051" s="404"/>
      <c r="G1051" s="404"/>
      <c r="H1051" s="24"/>
      <c r="K1051" s="308" t="s">
        <v>85</v>
      </c>
      <c r="L1051" s="40"/>
      <c r="M1051" s="1"/>
      <c r="N1051" s="23"/>
      <c r="O1051" s="23"/>
      <c r="P1051" s="23"/>
      <c r="Q1051" s="23"/>
      <c r="R1051" s="23"/>
      <c r="S1051" s="23"/>
    </row>
    <row r="1052" spans="1:21" ht="15" x14ac:dyDescent="0.25">
      <c r="A1052" s="277" t="s">
        <v>110</v>
      </c>
      <c r="B1052" s="236" t="s">
        <v>85</v>
      </c>
      <c r="C1052" s="24"/>
      <c r="D1052" s="24"/>
      <c r="E1052" s="24"/>
      <c r="F1052" s="24"/>
      <c r="G1052" s="24"/>
      <c r="H1052" s="24"/>
      <c r="K1052" s="308" t="s">
        <v>85</v>
      </c>
      <c r="L1052" s="40"/>
      <c r="M1052" s="1"/>
    </row>
    <row r="1053" spans="1:21" ht="15" x14ac:dyDescent="0.25">
      <c r="A1053" s="277" t="s">
        <v>138</v>
      </c>
      <c r="B1053" s="244" t="s">
        <v>85</v>
      </c>
      <c r="C1053" s="24"/>
      <c r="D1053" s="24"/>
      <c r="E1053" s="24"/>
      <c r="F1053" s="24"/>
      <c r="G1053" s="24"/>
      <c r="H1053" s="24"/>
      <c r="K1053" s="308" t="s">
        <v>85</v>
      </c>
      <c r="L1053" s="40"/>
      <c r="M1053" s="1"/>
    </row>
    <row r="1054" spans="1:21" ht="15" x14ac:dyDescent="0.25">
      <c r="A1054" s="277" t="s">
        <v>140</v>
      </c>
      <c r="B1054" s="413" t="s">
        <v>85</v>
      </c>
      <c r="C1054" s="414"/>
      <c r="D1054" s="414"/>
      <c r="E1054" s="414"/>
      <c r="F1054" s="414"/>
      <c r="G1054" s="414"/>
      <c r="H1054" s="24"/>
      <c r="K1054" s="308" t="s">
        <v>85</v>
      </c>
      <c r="L1054" s="40"/>
      <c r="M1054" s="1"/>
    </row>
    <row r="1055" spans="1:21" ht="15" x14ac:dyDescent="0.25">
      <c r="A1055" s="277" t="s">
        <v>142</v>
      </c>
      <c r="B1055" s="236" t="s">
        <v>85</v>
      </c>
      <c r="C1055" s="24"/>
      <c r="D1055" s="24"/>
      <c r="E1055" s="24"/>
      <c r="F1055" s="24"/>
      <c r="G1055" s="24"/>
      <c r="H1055" s="24"/>
      <c r="K1055" s="308" t="s">
        <v>85</v>
      </c>
      <c r="L1055" s="40"/>
      <c r="M1055" s="1"/>
    </row>
    <row r="1056" spans="1:21" ht="30" x14ac:dyDescent="0.25">
      <c r="A1056" s="278" t="s">
        <v>144</v>
      </c>
      <c r="B1056" s="236" t="str">
        <f>IF(B1046=$N$5,"Yes","No")</f>
        <v>No</v>
      </c>
      <c r="C1056" s="24"/>
      <c r="D1056" s="24"/>
      <c r="E1056" s="24"/>
      <c r="F1056" s="24"/>
      <c r="G1056" s="24"/>
      <c r="H1056" s="231"/>
      <c r="K1056" s="308" t="s">
        <v>85</v>
      </c>
      <c r="L1056" s="40"/>
      <c r="M1056" s="1"/>
    </row>
    <row r="1057" spans="1:21" ht="15" x14ac:dyDescent="0.25">
      <c r="A1057" s="229" t="s">
        <v>121</v>
      </c>
      <c r="B1057" s="403" t="s">
        <v>420</v>
      </c>
      <c r="C1057" s="404"/>
      <c r="D1057" s="404"/>
      <c r="E1057" s="404"/>
      <c r="F1057" s="404"/>
      <c r="G1057" s="404"/>
      <c r="H1057" s="24"/>
      <c r="K1057" s="308" t="s">
        <v>85</v>
      </c>
      <c r="L1057" s="40"/>
      <c r="M1057" s="1"/>
    </row>
    <row r="1058" spans="1:21" ht="15" thickBot="1" x14ac:dyDescent="0.25">
      <c r="A1058" s="24"/>
      <c r="B1058" s="236"/>
      <c r="C1058" s="24"/>
      <c r="D1058" s="24"/>
      <c r="E1058" s="24"/>
      <c r="F1058" s="24"/>
      <c r="G1058" s="24"/>
      <c r="H1058" s="24"/>
      <c r="K1058" s="308" t="s">
        <v>85</v>
      </c>
      <c r="L1058" s="40"/>
      <c r="M1058" s="1"/>
    </row>
    <row r="1059" spans="1:21" ht="15.75" thickBot="1" x14ac:dyDescent="0.3">
      <c r="A1059" s="275" t="s">
        <v>421</v>
      </c>
      <c r="B1059" s="401" t="s">
        <v>422</v>
      </c>
      <c r="C1059" s="402"/>
      <c r="D1059" s="402"/>
      <c r="E1059" s="402"/>
      <c r="F1059" s="402"/>
      <c r="G1059" s="402"/>
      <c r="H1059" s="402"/>
      <c r="K1059" s="308" t="s">
        <v>85</v>
      </c>
      <c r="L1059" s="40"/>
      <c r="M1059" s="1"/>
    </row>
    <row r="1060" spans="1:21" ht="15" x14ac:dyDescent="0.25">
      <c r="A1060" s="229" t="s">
        <v>87</v>
      </c>
      <c r="B1060" s="236" t="s">
        <v>135</v>
      </c>
      <c r="C1060" s="24"/>
      <c r="D1060" s="24"/>
      <c r="E1060" s="24"/>
      <c r="F1060" s="24"/>
      <c r="G1060" s="24"/>
      <c r="H1060" s="24"/>
      <c r="K1060" s="308" t="s">
        <v>85</v>
      </c>
      <c r="L1060" s="40"/>
      <c r="M1060" s="1"/>
    </row>
    <row r="1061" spans="1:21" s="8" customFormat="1" ht="15" x14ac:dyDescent="0.25">
      <c r="A1061" s="276"/>
      <c r="B1061" s="237" t="str">
        <f>CONCATENATE($O$2&amp;": "&amp;VLOOKUP($B1060,$N$4:$U$27,2,0))</f>
        <v>Font: Arial</v>
      </c>
      <c r="C1061" s="19" t="str">
        <f>CONCATENATE($P$2&amp;": "&amp;VLOOKUP($B1060,$N$4:$U$27,3,0))</f>
        <v>T-face: Bold</v>
      </c>
      <c r="D1061" s="19" t="str">
        <f>CONCATENATE($Q$2&amp;": "&amp;VLOOKUP($B1060,$N$4:$U$27,4,0))</f>
        <v>Font size: 11</v>
      </c>
      <c r="E1061" s="19" t="str">
        <f>CONCATENATE($R$2&amp;": "&amp;VLOOKUP($B1060,$N$4:$U$27,5,0))</f>
        <v>Row height: 26.5</v>
      </c>
      <c r="F1061" s="19" t="str">
        <f>CONCATENATE($S$2&amp;": "&amp;VLOOKUP($B1060,$N$4:$U$27,6,0))</f>
        <v>Text col: Blue</v>
      </c>
      <c r="G1061" s="19" t="str">
        <f>CONCATENATE($T$2&amp;": "&amp;VLOOKUP($B1060,$N$4:$U$27,7,0))</f>
        <v>BG col: White</v>
      </c>
      <c r="H1061" s="19" t="str">
        <f>CONCATENATE($U$2&amp;": "&amp;VLOOKUP($B1060,$N$4:$U$27,8,0))</f>
        <v>Just: Left</v>
      </c>
      <c r="I1061" s="37"/>
      <c r="J1061" s="2"/>
      <c r="K1061" s="308" t="s">
        <v>85</v>
      </c>
      <c r="L1061" s="40"/>
      <c r="M1061" s="1"/>
      <c r="N1061" s="2"/>
      <c r="O1061" s="2"/>
      <c r="P1061" s="2"/>
      <c r="Q1061" s="2"/>
      <c r="R1061" s="2"/>
      <c r="S1061" s="2"/>
      <c r="T1061" s="2"/>
      <c r="U1061" s="2"/>
    </row>
    <row r="1062" spans="1:21" ht="15" x14ac:dyDescent="0.25">
      <c r="A1062" s="229" t="s">
        <v>99</v>
      </c>
      <c r="B1062" s="236" t="s">
        <v>413</v>
      </c>
      <c r="C1062" s="24"/>
      <c r="D1062" s="24"/>
      <c r="E1062" s="24"/>
      <c r="F1062" s="24"/>
      <c r="G1062" s="24"/>
      <c r="H1062" s="24"/>
      <c r="J1062" s="8"/>
      <c r="K1062" s="308" t="s">
        <v>85</v>
      </c>
      <c r="L1062" s="40"/>
      <c r="M1062" s="1"/>
    </row>
    <row r="1063" spans="1:21" ht="15" x14ac:dyDescent="0.25">
      <c r="A1063" s="229" t="s">
        <v>102</v>
      </c>
      <c r="B1063" s="407" t="s">
        <v>423</v>
      </c>
      <c r="C1063" s="408"/>
      <c r="D1063" s="408"/>
      <c r="E1063" s="408"/>
      <c r="F1063" s="408"/>
      <c r="G1063" s="408"/>
      <c r="H1063" s="24"/>
      <c r="K1063" s="308" t="s">
        <v>151</v>
      </c>
      <c r="L1063" s="40"/>
      <c r="M1063" s="1"/>
    </row>
    <row r="1064" spans="1:21" ht="15" x14ac:dyDescent="0.25">
      <c r="A1064" s="277" t="s">
        <v>104</v>
      </c>
      <c r="B1064" s="236" t="s">
        <v>242</v>
      </c>
      <c r="C1064" s="24"/>
      <c r="D1064" s="24"/>
      <c r="E1064" s="24"/>
      <c r="F1064" s="24"/>
      <c r="G1064" s="24"/>
      <c r="H1064" s="24"/>
      <c r="K1064" s="308" t="s">
        <v>85</v>
      </c>
      <c r="L1064" s="40"/>
      <c r="M1064" s="1"/>
    </row>
    <row r="1065" spans="1:21" ht="15" x14ac:dyDescent="0.25">
      <c r="A1065" s="277" t="s">
        <v>87</v>
      </c>
      <c r="B1065" s="403" t="s">
        <v>155</v>
      </c>
      <c r="C1065" s="404"/>
      <c r="D1065" s="404"/>
      <c r="E1065" s="404"/>
      <c r="F1065" s="404"/>
      <c r="G1065" s="404"/>
      <c r="H1065" s="24"/>
      <c r="K1065" s="308" t="s">
        <v>85</v>
      </c>
      <c r="L1065" s="40"/>
      <c r="M1065" s="1"/>
      <c r="T1065"/>
      <c r="U1065"/>
    </row>
    <row r="1066" spans="1:21" ht="15" x14ac:dyDescent="0.25">
      <c r="A1066" s="277" t="s">
        <v>110</v>
      </c>
      <c r="B1066" s="236" t="s">
        <v>85</v>
      </c>
      <c r="C1066" s="24"/>
      <c r="D1066" s="24"/>
      <c r="E1066" s="24"/>
      <c r="F1066" s="24"/>
      <c r="G1066" s="24"/>
      <c r="H1066" s="24"/>
      <c r="K1066" s="308" t="s">
        <v>85</v>
      </c>
      <c r="L1066" s="40"/>
      <c r="M1066" s="1"/>
      <c r="N1066" s="23"/>
      <c r="O1066" s="23"/>
      <c r="P1066" s="23"/>
      <c r="Q1066" s="23"/>
      <c r="R1066" s="23"/>
      <c r="S1066" s="23"/>
    </row>
    <row r="1067" spans="1:21" ht="15" x14ac:dyDescent="0.25">
      <c r="A1067" s="277" t="s">
        <v>138</v>
      </c>
      <c r="B1067" s="236" t="s">
        <v>85</v>
      </c>
      <c r="C1067" s="24"/>
      <c r="D1067" s="24"/>
      <c r="E1067" s="24"/>
      <c r="F1067" s="24"/>
      <c r="G1067" s="24"/>
      <c r="H1067" s="24"/>
      <c r="K1067" s="308" t="s">
        <v>85</v>
      </c>
      <c r="L1067" s="40"/>
      <c r="M1067" s="1"/>
    </row>
    <row r="1068" spans="1:21" ht="15" x14ac:dyDescent="0.25">
      <c r="A1068" s="277" t="s">
        <v>140</v>
      </c>
      <c r="B1068" s="236" t="s">
        <v>85</v>
      </c>
      <c r="C1068" s="24"/>
      <c r="D1068" s="24"/>
      <c r="E1068" s="24"/>
      <c r="F1068" s="24"/>
      <c r="G1068" s="24"/>
      <c r="H1068" s="24"/>
      <c r="K1068" s="308" t="s">
        <v>85</v>
      </c>
      <c r="L1068" s="40"/>
      <c r="M1068" s="1"/>
    </row>
    <row r="1069" spans="1:21" ht="15" x14ac:dyDescent="0.25">
      <c r="A1069" s="277" t="s">
        <v>142</v>
      </c>
      <c r="B1069" s="236" t="s">
        <v>85</v>
      </c>
      <c r="C1069" s="24"/>
      <c r="D1069" s="24"/>
      <c r="E1069" s="24"/>
      <c r="F1069" s="24"/>
      <c r="G1069" s="24"/>
      <c r="H1069" s="24"/>
      <c r="K1069" s="308" t="s">
        <v>85</v>
      </c>
      <c r="L1069" s="40"/>
      <c r="M1069" s="1"/>
    </row>
    <row r="1070" spans="1:21" customFormat="1" ht="30" x14ac:dyDescent="0.25">
      <c r="A1070" s="278" t="s">
        <v>144</v>
      </c>
      <c r="B1070" s="236" t="str">
        <f>IF(B1060=$N$5,"Yes","No")</f>
        <v>No</v>
      </c>
      <c r="C1070" s="24"/>
      <c r="D1070" s="24"/>
      <c r="E1070" s="24"/>
      <c r="F1070" s="24"/>
      <c r="G1070" s="24"/>
      <c r="H1070" s="231"/>
      <c r="I1070" s="35"/>
      <c r="J1070" s="2"/>
      <c r="K1070" s="308" t="s">
        <v>85</v>
      </c>
      <c r="L1070" s="40"/>
      <c r="M1070" s="1"/>
      <c r="N1070" s="2"/>
      <c r="O1070" s="2"/>
      <c r="P1070" s="2"/>
      <c r="Q1070" s="2"/>
      <c r="R1070" s="2"/>
      <c r="S1070" s="2"/>
      <c r="T1070" s="8"/>
      <c r="U1070" s="8"/>
    </row>
    <row r="1071" spans="1:21" ht="15" x14ac:dyDescent="0.25">
      <c r="A1071" s="229" t="s">
        <v>121</v>
      </c>
      <c r="B1071" s="403" t="s">
        <v>169</v>
      </c>
      <c r="C1071" s="404"/>
      <c r="D1071" s="404"/>
      <c r="E1071" s="404"/>
      <c r="F1071" s="404"/>
      <c r="G1071" s="404"/>
      <c r="H1071" s="24"/>
      <c r="J1071" s="22"/>
      <c r="K1071" s="308" t="s">
        <v>85</v>
      </c>
      <c r="L1071" s="40"/>
      <c r="M1071" s="1"/>
      <c r="N1071" s="8"/>
      <c r="O1071" s="8"/>
      <c r="P1071" s="8"/>
      <c r="Q1071" s="8"/>
      <c r="R1071" s="8"/>
      <c r="S1071" s="8"/>
    </row>
    <row r="1072" spans="1:21" ht="15" thickBot="1" x14ac:dyDescent="0.25">
      <c r="A1072" s="24"/>
      <c r="B1072" s="236"/>
      <c r="C1072" s="24"/>
      <c r="D1072" s="24"/>
      <c r="E1072" s="24"/>
      <c r="F1072" s="24"/>
      <c r="G1072" s="24"/>
      <c r="H1072" s="24"/>
      <c r="K1072" s="308" t="s">
        <v>85</v>
      </c>
      <c r="L1072" s="40"/>
      <c r="M1072" s="1"/>
    </row>
    <row r="1073" spans="1:21" ht="15.75" thickBot="1" x14ac:dyDescent="0.3">
      <c r="A1073" s="275" t="s">
        <v>424</v>
      </c>
      <c r="B1073" s="401" t="s">
        <v>425</v>
      </c>
      <c r="C1073" s="402"/>
      <c r="D1073" s="402"/>
      <c r="E1073" s="402"/>
      <c r="F1073" s="402"/>
      <c r="G1073" s="402"/>
      <c r="H1073" s="402"/>
      <c r="K1073" s="308" t="s">
        <v>85</v>
      </c>
      <c r="L1073" s="40"/>
      <c r="M1073" s="1"/>
    </row>
    <row r="1074" spans="1:21" ht="15" x14ac:dyDescent="0.25">
      <c r="A1074" s="229" t="s">
        <v>87</v>
      </c>
      <c r="B1074" s="236" t="s">
        <v>124</v>
      </c>
      <c r="C1074" s="24"/>
      <c r="D1074" s="24"/>
      <c r="E1074" s="24"/>
      <c r="F1074" s="24"/>
      <c r="G1074" s="24"/>
      <c r="H1074" s="24"/>
      <c r="K1074" s="308" t="s">
        <v>85</v>
      </c>
      <c r="L1074" s="40"/>
      <c r="M1074" s="1"/>
    </row>
    <row r="1075" spans="1:21" s="8" customFormat="1" ht="29.25" x14ac:dyDescent="0.25">
      <c r="A1075" s="276"/>
      <c r="B1075" s="237" t="str">
        <f>CONCATENATE($O$2&amp;": "&amp;VLOOKUP($B1074,$N$4:$U$27,2,0))</f>
        <v>Font: Arial</v>
      </c>
      <c r="C1075" s="19" t="str">
        <f>CONCATENATE($P$2&amp;": "&amp;VLOOKUP($B1074,$N$4:$U$27,3,0))</f>
        <v>T-face: Normal</v>
      </c>
      <c r="D1075" s="19" t="str">
        <f>CONCATENATE($Q$2&amp;": "&amp;VLOOKUP($B1074,$N$4:$U$27,4,0))</f>
        <v>Font size: 11</v>
      </c>
      <c r="E1075" s="19" t="str">
        <f>CONCATENATE($R$2&amp;": "&amp;VLOOKUP($B1074,$N$4:$U$27,5,0))</f>
        <v>Row height: 26.5</v>
      </c>
      <c r="F1075" s="19" t="str">
        <f>CONCATENATE($S$2&amp;": "&amp;VLOOKUP($B1074,$N$4:$U$27,6,0))</f>
        <v>Text col: Black</v>
      </c>
      <c r="G1075" s="19" t="str">
        <f>CONCATENATE($T$2&amp;": "&amp;VLOOKUP($B1074,$N$4:$U$27,7,0))</f>
        <v>BG col: White</v>
      </c>
      <c r="H1075" s="19" t="str">
        <f>CONCATENATE($U$2&amp;": "&amp;VLOOKUP($B1074,$N$4:$U$27,8,0))</f>
        <v>Just: Left</v>
      </c>
      <c r="I1075" s="37"/>
      <c r="J1075" s="2"/>
      <c r="K1075" s="308" t="s">
        <v>85</v>
      </c>
      <c r="L1075" s="40"/>
      <c r="M1075" s="1"/>
      <c r="N1075" s="2"/>
      <c r="O1075" s="2"/>
      <c r="P1075" s="2"/>
      <c r="Q1075" s="2"/>
      <c r="R1075" s="2"/>
      <c r="S1075" s="2"/>
      <c r="T1075" s="2"/>
      <c r="U1075" s="2"/>
    </row>
    <row r="1076" spans="1:21" ht="15" x14ac:dyDescent="0.25">
      <c r="A1076" s="229" t="s">
        <v>99</v>
      </c>
      <c r="B1076" s="236" t="s">
        <v>413</v>
      </c>
      <c r="C1076" s="24"/>
      <c r="D1076" s="24"/>
      <c r="E1076" s="24"/>
      <c r="F1076" s="24"/>
      <c r="G1076" s="24"/>
      <c r="H1076" s="24"/>
      <c r="J1076" s="8"/>
      <c r="K1076" s="308" t="s">
        <v>85</v>
      </c>
      <c r="L1076" s="40"/>
      <c r="M1076" s="1"/>
    </row>
    <row r="1077" spans="1:21" ht="29.1" customHeight="1" x14ac:dyDescent="0.25">
      <c r="A1077" s="229" t="s">
        <v>102</v>
      </c>
      <c r="B1077" s="409" t="str">
        <f>IFERROR(IF(OR(B1049&lt;=0,B1049="Invalid data entered!"),"• You haven't correctly completed Step 1 – Loan details or Step 2 – Borrowing expenses so we can't calculate any claim amounts. Check Information entry guidance for more information.",IF(B1049&lt;=100,"• As your deductible borrowing expenses are less than or equal to $100, they are fully deductible in the year you incur
  them.",IF(AND(B1049&gt;100,B486&lt;=5),CONCATENATE("• Your deductible borrowing expenses have been apportioned over the loan term."),CONCATENATE("• Your deductible borrowing expenses have been apportioned over ",B1088," years.",CHAR(10),"• This is the shorter of 5 years or the loan term of ",B486," years.")))),"Invalid data entered!")</f>
        <v>• You haven't correctly completed Step 1 – Loan details or Step 2 – Borrowing expenses so we can't calculate any claim amounts. Check Information entry guidance for more information.</v>
      </c>
      <c r="C1077" s="410"/>
      <c r="D1077" s="410"/>
      <c r="E1077" s="410"/>
      <c r="F1077" s="410"/>
      <c r="G1077" s="410"/>
      <c r="H1077" s="24"/>
      <c r="K1077" s="308" t="s">
        <v>151</v>
      </c>
      <c r="L1077" s="40"/>
      <c r="M1077" s="1"/>
    </row>
    <row r="1078" spans="1:21" ht="15" x14ac:dyDescent="0.25">
      <c r="A1078" s="277" t="s">
        <v>104</v>
      </c>
      <c r="B1078" s="236" t="s">
        <v>426</v>
      </c>
      <c r="C1078" s="24"/>
      <c r="D1078" s="24"/>
      <c r="E1078" s="24"/>
      <c r="F1078" s="24"/>
      <c r="G1078" s="24"/>
      <c r="H1078" s="24"/>
      <c r="K1078" s="308" t="s">
        <v>85</v>
      </c>
      <c r="L1078" s="40"/>
      <c r="M1078" s="1"/>
    </row>
    <row r="1079" spans="1:21" ht="15" x14ac:dyDescent="0.25">
      <c r="A1079" s="277" t="s">
        <v>87</v>
      </c>
      <c r="B1079" s="403" t="s">
        <v>155</v>
      </c>
      <c r="C1079" s="404"/>
      <c r="D1079" s="404"/>
      <c r="E1079" s="404"/>
      <c r="F1079" s="404"/>
      <c r="G1079" s="404"/>
      <c r="H1079" s="24"/>
      <c r="K1079" s="308" t="s">
        <v>85</v>
      </c>
      <c r="L1079" s="40"/>
      <c r="M1079" s="1"/>
      <c r="T1079"/>
      <c r="U1079"/>
    </row>
    <row r="1080" spans="1:21" ht="15" x14ac:dyDescent="0.25">
      <c r="A1080" s="277" t="s">
        <v>110</v>
      </c>
      <c r="B1080" s="236" t="s">
        <v>85</v>
      </c>
      <c r="C1080" s="24"/>
      <c r="D1080" s="24"/>
      <c r="E1080" s="24"/>
      <c r="F1080" s="24"/>
      <c r="G1080" s="24"/>
      <c r="H1080" s="24"/>
      <c r="K1080" s="308" t="s">
        <v>85</v>
      </c>
      <c r="L1080" s="40"/>
      <c r="M1080" s="1"/>
      <c r="N1080" s="23"/>
      <c r="O1080" s="23"/>
      <c r="P1080" s="23"/>
      <c r="Q1080" s="23"/>
      <c r="R1080" s="23"/>
      <c r="S1080" s="23"/>
    </row>
    <row r="1081" spans="1:21" ht="15" x14ac:dyDescent="0.25">
      <c r="A1081" s="277" t="s">
        <v>138</v>
      </c>
      <c r="B1081" s="236" t="s">
        <v>85</v>
      </c>
      <c r="C1081" s="24"/>
      <c r="D1081" s="24"/>
      <c r="E1081" s="24"/>
      <c r="F1081" s="24"/>
      <c r="G1081" s="24"/>
      <c r="H1081" s="24"/>
      <c r="K1081" s="308" t="s">
        <v>85</v>
      </c>
      <c r="L1081" s="40"/>
      <c r="M1081" s="1"/>
    </row>
    <row r="1082" spans="1:21" ht="15" x14ac:dyDescent="0.25">
      <c r="A1082" s="277" t="s">
        <v>140</v>
      </c>
      <c r="B1082" s="236" t="s">
        <v>85</v>
      </c>
      <c r="C1082" s="24"/>
      <c r="D1082" s="24"/>
      <c r="E1082" s="24"/>
      <c r="F1082" s="24"/>
      <c r="G1082" s="24"/>
      <c r="H1082" s="24"/>
      <c r="K1082" s="308" t="s">
        <v>85</v>
      </c>
      <c r="L1082" s="40"/>
      <c r="M1082" s="1"/>
    </row>
    <row r="1083" spans="1:21" ht="15" x14ac:dyDescent="0.25">
      <c r="A1083" s="277" t="s">
        <v>142</v>
      </c>
      <c r="B1083" s="236" t="s">
        <v>85</v>
      </c>
      <c r="C1083" s="24"/>
      <c r="D1083" s="24"/>
      <c r="E1083" s="24"/>
      <c r="F1083" s="24"/>
      <c r="G1083" s="24"/>
      <c r="H1083" s="24"/>
      <c r="K1083" s="308" t="s">
        <v>85</v>
      </c>
      <c r="L1083" s="40"/>
      <c r="M1083" s="1"/>
    </row>
    <row r="1084" spans="1:21" customFormat="1" ht="30" x14ac:dyDescent="0.25">
      <c r="A1084" s="278" t="s">
        <v>144</v>
      </c>
      <c r="B1084" s="236" t="str">
        <f>IF(B1074=$N$5,"Yes","No")</f>
        <v>No</v>
      </c>
      <c r="C1084" s="24"/>
      <c r="D1084" s="24"/>
      <c r="E1084" s="24"/>
      <c r="F1084" s="24"/>
      <c r="G1084" s="24"/>
      <c r="H1084" s="231"/>
      <c r="I1084" s="35"/>
      <c r="J1084" s="2"/>
      <c r="K1084" s="308" t="s">
        <v>85</v>
      </c>
      <c r="L1084" s="40"/>
      <c r="M1084" s="1"/>
      <c r="N1084" s="2"/>
      <c r="O1084" s="2"/>
      <c r="P1084" s="2"/>
      <c r="Q1084" s="2"/>
      <c r="R1084" s="2"/>
      <c r="S1084" s="2"/>
      <c r="T1084" s="8"/>
      <c r="U1084" s="8"/>
    </row>
    <row r="1085" spans="1:21" ht="15" x14ac:dyDescent="0.25">
      <c r="A1085" s="229" t="s">
        <v>121</v>
      </c>
      <c r="B1085" s="403" t="s">
        <v>427</v>
      </c>
      <c r="C1085" s="404"/>
      <c r="D1085" s="404"/>
      <c r="E1085" s="404"/>
      <c r="F1085" s="404"/>
      <c r="G1085" s="404"/>
      <c r="H1085" s="24"/>
      <c r="J1085" s="22"/>
      <c r="K1085" s="308" t="s">
        <v>151</v>
      </c>
      <c r="L1085" s="40"/>
      <c r="M1085" s="1"/>
      <c r="N1085" s="8"/>
      <c r="O1085" s="8"/>
      <c r="P1085" s="8"/>
      <c r="Q1085" s="8"/>
      <c r="R1085" s="8"/>
      <c r="S1085" s="8"/>
    </row>
    <row r="1086" spans="1:21" ht="15.75" thickBot="1" x14ac:dyDescent="0.3">
      <c r="A1086" s="226"/>
      <c r="B1086" s="257"/>
      <c r="C1086" s="69"/>
      <c r="D1086" s="69"/>
      <c r="E1086" s="69"/>
      <c r="F1086" s="69"/>
      <c r="G1086" s="69"/>
      <c r="H1086" s="24"/>
      <c r="K1086" s="308" t="s">
        <v>85</v>
      </c>
      <c r="L1086" s="40"/>
      <c r="M1086" s="1"/>
    </row>
    <row r="1087" spans="1:21" ht="15.75" thickBot="1" x14ac:dyDescent="0.3">
      <c r="A1087" s="275"/>
      <c r="B1087" s="401" t="s">
        <v>428</v>
      </c>
      <c r="C1087" s="402"/>
      <c r="D1087" s="402"/>
      <c r="E1087" s="402"/>
      <c r="F1087" s="402"/>
      <c r="G1087" s="402"/>
      <c r="H1087" s="402"/>
      <c r="K1087" s="308" t="s">
        <v>85</v>
      </c>
      <c r="L1087" s="40"/>
      <c r="M1087" s="1"/>
    </row>
    <row r="1088" spans="1:21" ht="15" x14ac:dyDescent="0.25">
      <c r="A1088" s="226"/>
      <c r="B1088" s="258">
        <f>IF(AND(B1049&lt;=100,B486&lt;=5),1,IF(AND(B1049&gt;100,B486&lt;=5),B486,5))</f>
        <v>5</v>
      </c>
      <c r="C1088" s="69"/>
      <c r="D1088" s="69"/>
      <c r="E1088" s="69"/>
      <c r="F1088" s="69"/>
      <c r="G1088" s="69"/>
      <c r="H1088" s="24"/>
      <c r="K1088" s="308" t="s">
        <v>85</v>
      </c>
      <c r="L1088" s="40"/>
      <c r="M1088" s="1"/>
    </row>
    <row r="1089" spans="1:13" ht="15" x14ac:dyDescent="0.25">
      <c r="A1089" s="279" t="s">
        <v>121</v>
      </c>
      <c r="B1089" s="259" t="s">
        <v>429</v>
      </c>
      <c r="C1089" s="69"/>
      <c r="D1089" s="69"/>
      <c r="E1089" s="69"/>
      <c r="F1089" s="69"/>
      <c r="G1089" s="69"/>
      <c r="H1089" s="24"/>
      <c r="K1089" s="308" t="s">
        <v>85</v>
      </c>
      <c r="L1089" s="40"/>
      <c r="M1089" s="1"/>
    </row>
    <row r="1090" spans="1:13" ht="15" x14ac:dyDescent="0.25">
      <c r="A1090" s="279"/>
      <c r="B1090" s="259" t="s">
        <v>430</v>
      </c>
      <c r="C1090" s="69"/>
      <c r="D1090" s="69"/>
      <c r="E1090" s="69"/>
      <c r="F1090" s="69"/>
      <c r="G1090" s="69"/>
      <c r="H1090" s="24"/>
      <c r="K1090" s="308" t="s">
        <v>85</v>
      </c>
      <c r="L1090" s="40"/>
      <c r="M1090" s="1"/>
    </row>
    <row r="1091" spans="1:13" ht="15" x14ac:dyDescent="0.25">
      <c r="A1091" s="279"/>
      <c r="B1091" s="428" t="s">
        <v>431</v>
      </c>
      <c r="C1091" s="429"/>
      <c r="D1091" s="429"/>
      <c r="E1091" s="429"/>
      <c r="F1091" s="429"/>
      <c r="G1091" s="429"/>
      <c r="H1091" s="429"/>
      <c r="K1091" s="308" t="s">
        <v>85</v>
      </c>
      <c r="L1091" s="40"/>
      <c r="M1091" s="1"/>
    </row>
    <row r="1092" spans="1:13" ht="15" x14ac:dyDescent="0.25">
      <c r="A1092" s="279"/>
      <c r="B1092" s="259" t="s">
        <v>432</v>
      </c>
      <c r="C1092" s="69"/>
      <c r="D1092" s="69"/>
      <c r="E1092" s="69"/>
      <c r="F1092" s="69"/>
      <c r="G1092" s="69"/>
      <c r="H1092" s="24"/>
      <c r="K1092" s="308" t="s">
        <v>85</v>
      </c>
      <c r="L1092" s="40"/>
      <c r="M1092" s="1"/>
    </row>
    <row r="1093" spans="1:13" ht="15.75" thickBot="1" x14ac:dyDescent="0.3">
      <c r="A1093" s="226"/>
      <c r="B1093" s="257"/>
      <c r="C1093" s="69"/>
      <c r="D1093" s="69"/>
      <c r="E1093" s="69"/>
      <c r="F1093" s="69"/>
      <c r="G1093" s="69"/>
      <c r="H1093" s="24"/>
      <c r="K1093" s="308" t="s">
        <v>85</v>
      </c>
      <c r="L1093" s="40"/>
      <c r="M1093" s="1"/>
    </row>
    <row r="1094" spans="1:13" ht="15.75" thickBot="1" x14ac:dyDescent="0.3">
      <c r="A1094" s="275"/>
      <c r="B1094" s="401" t="s">
        <v>433</v>
      </c>
      <c r="C1094" s="402"/>
      <c r="D1094" s="402"/>
      <c r="E1094" s="402"/>
      <c r="F1094" s="402"/>
      <c r="G1094" s="402"/>
      <c r="H1094" s="402"/>
      <c r="K1094" s="308" t="s">
        <v>85</v>
      </c>
      <c r="L1094" s="40"/>
      <c r="M1094" s="1"/>
    </row>
    <row r="1095" spans="1:13" ht="15" x14ac:dyDescent="0.25">
      <c r="A1095" s="226"/>
      <c r="B1095" s="260" t="s">
        <v>434</v>
      </c>
      <c r="C1095" s="70" t="s">
        <v>435</v>
      </c>
      <c r="D1095" s="70" t="s">
        <v>436</v>
      </c>
      <c r="E1095" s="71" t="s">
        <v>437</v>
      </c>
      <c r="F1095" s="69"/>
      <c r="G1095" s="69"/>
      <c r="H1095" s="24"/>
      <c r="K1095" s="308" t="s">
        <v>85</v>
      </c>
      <c r="L1095" s="40"/>
      <c r="M1095" s="1"/>
    </row>
    <row r="1096" spans="1:13" ht="15" x14ac:dyDescent="0.25">
      <c r="A1096" s="226"/>
      <c r="B1096" s="261">
        <f>IF(MONTH(B458)&lt;=6,YEAR(B458),YEAR(B458)+1)</f>
        <v>2014</v>
      </c>
      <c r="C1096" s="67">
        <f>DATE(B$1096-1,6,30)</f>
        <v>41455</v>
      </c>
      <c r="D1096" s="68" t="str">
        <f t="shared" ref="D1096:D1102" si="0">TEXT(C1096,"yy")</f>
        <v>13</v>
      </c>
      <c r="E1096" s="39"/>
      <c r="F1096" s="69"/>
      <c r="G1096" s="69"/>
      <c r="H1096" s="24"/>
      <c r="K1096" s="308" t="s">
        <v>85</v>
      </c>
      <c r="L1096" s="40"/>
      <c r="M1096" s="1"/>
    </row>
    <row r="1097" spans="1:13" ht="15" x14ac:dyDescent="0.25">
      <c r="A1097" s="226"/>
      <c r="B1097" s="262">
        <f>DATE($B$1096,6,30)</f>
        <v>41820</v>
      </c>
      <c r="C1097" s="67">
        <f>DATE($B$1096,6,30)</f>
        <v>41820</v>
      </c>
      <c r="D1097" s="68" t="str">
        <f t="shared" si="0"/>
        <v>14</v>
      </c>
      <c r="E1097" s="65" t="str">
        <f t="shared" ref="E1097:E1102" si="1">CONCATENATE("20",D1096,"-",D1097)</f>
        <v>2013-14</v>
      </c>
      <c r="F1097" s="69"/>
      <c r="G1097" s="69"/>
      <c r="H1097" s="24"/>
      <c r="K1097" s="308" t="s">
        <v>85</v>
      </c>
      <c r="L1097" s="40"/>
      <c r="M1097" s="1"/>
    </row>
    <row r="1098" spans="1:13" ht="15" x14ac:dyDescent="0.25">
      <c r="A1098" s="226"/>
      <c r="B1098" s="263">
        <f>DATE($B$1096+1,6,30)</f>
        <v>42185</v>
      </c>
      <c r="C1098" s="67">
        <f>DATE($B$1096+1,6,30)</f>
        <v>42185</v>
      </c>
      <c r="D1098" s="68" t="str">
        <f t="shared" si="0"/>
        <v>15</v>
      </c>
      <c r="E1098" s="65" t="str">
        <f t="shared" si="1"/>
        <v>2014-15</v>
      </c>
      <c r="F1098" s="69"/>
      <c r="G1098" s="69"/>
      <c r="H1098" s="24"/>
      <c r="K1098" s="308" t="s">
        <v>85</v>
      </c>
      <c r="L1098" s="40"/>
      <c r="M1098" s="1"/>
    </row>
    <row r="1099" spans="1:13" ht="15" x14ac:dyDescent="0.25">
      <c r="A1099" s="226"/>
      <c r="B1099" s="263">
        <f>DATE($B$1096+2,6,30)</f>
        <v>42551</v>
      </c>
      <c r="C1099" s="67">
        <f>DATE($B$1096+2,6,30)</f>
        <v>42551</v>
      </c>
      <c r="D1099" s="68" t="str">
        <f t="shared" si="0"/>
        <v>16</v>
      </c>
      <c r="E1099" s="65" t="str">
        <f t="shared" si="1"/>
        <v>2015-16</v>
      </c>
      <c r="F1099" s="69"/>
      <c r="G1099" s="69"/>
      <c r="H1099" s="24"/>
      <c r="K1099" s="308" t="s">
        <v>85</v>
      </c>
      <c r="L1099" s="40"/>
      <c r="M1099" s="1"/>
    </row>
    <row r="1100" spans="1:13" ht="15" x14ac:dyDescent="0.25">
      <c r="A1100" s="226"/>
      <c r="B1100" s="263">
        <f>DATE($B$1096+3,6,30)</f>
        <v>42916</v>
      </c>
      <c r="C1100" s="67">
        <f>DATE($B$1096+3,6,30)</f>
        <v>42916</v>
      </c>
      <c r="D1100" s="68" t="str">
        <f t="shared" si="0"/>
        <v>17</v>
      </c>
      <c r="E1100" s="65" t="str">
        <f t="shared" si="1"/>
        <v>2016-17</v>
      </c>
      <c r="F1100" s="69"/>
      <c r="G1100" s="69"/>
      <c r="H1100" s="24"/>
      <c r="K1100" s="308" t="s">
        <v>85</v>
      </c>
      <c r="L1100" s="40"/>
      <c r="M1100" s="1"/>
    </row>
    <row r="1101" spans="1:13" ht="15" x14ac:dyDescent="0.25">
      <c r="A1101" s="226"/>
      <c r="B1101" s="263">
        <f>DATE($B$1096+4,6,30)</f>
        <v>43281</v>
      </c>
      <c r="C1101" s="67">
        <f>DATE($B$1096+4,6,30)</f>
        <v>43281</v>
      </c>
      <c r="D1101" s="68" t="str">
        <f t="shared" si="0"/>
        <v>18</v>
      </c>
      <c r="E1101" s="65" t="str">
        <f t="shared" si="1"/>
        <v>2017-18</v>
      </c>
      <c r="F1101" s="69"/>
      <c r="G1101" s="69"/>
      <c r="H1101" s="24"/>
      <c r="K1101" s="308" t="s">
        <v>85</v>
      </c>
      <c r="L1101" s="40"/>
      <c r="M1101" s="1"/>
    </row>
    <row r="1102" spans="1:13" ht="15" x14ac:dyDescent="0.25">
      <c r="A1102" s="226"/>
      <c r="B1102" s="263">
        <f>DATE($B$1096+5,6,30)</f>
        <v>43646</v>
      </c>
      <c r="C1102" s="67">
        <f>DATE($B$1096+5,6,30)</f>
        <v>43646</v>
      </c>
      <c r="D1102" s="68" t="str">
        <f t="shared" si="0"/>
        <v>19</v>
      </c>
      <c r="E1102" s="65" t="str">
        <f t="shared" si="1"/>
        <v>2018-19</v>
      </c>
      <c r="F1102" s="69"/>
      <c r="G1102" s="69"/>
      <c r="H1102" s="24"/>
      <c r="K1102" s="308" t="s">
        <v>85</v>
      </c>
      <c r="L1102" s="40"/>
      <c r="M1102" s="1"/>
    </row>
    <row r="1103" spans="1:13" ht="28.5" customHeight="1" x14ac:dyDescent="0.25">
      <c r="A1103" s="279" t="s">
        <v>121</v>
      </c>
      <c r="B1103" s="430" t="s">
        <v>438</v>
      </c>
      <c r="C1103" s="431"/>
      <c r="D1103" s="431"/>
      <c r="E1103" s="431"/>
      <c r="F1103" s="431"/>
      <c r="G1103" s="431"/>
      <c r="H1103" s="431"/>
      <c r="K1103" s="308" t="s">
        <v>85</v>
      </c>
      <c r="L1103" s="40"/>
      <c r="M1103" s="1"/>
    </row>
    <row r="1104" spans="1:13" ht="15.75" thickBot="1" x14ac:dyDescent="0.3">
      <c r="A1104" s="226"/>
      <c r="B1104" s="257"/>
      <c r="C1104" s="69"/>
      <c r="D1104" s="69"/>
      <c r="E1104" s="69"/>
      <c r="F1104" s="69"/>
      <c r="G1104" s="69"/>
      <c r="H1104" s="24"/>
      <c r="K1104" s="308" t="s">
        <v>85</v>
      </c>
      <c r="L1104" s="40"/>
      <c r="M1104" s="1"/>
    </row>
    <row r="1105" spans="1:13" ht="15.75" thickBot="1" x14ac:dyDescent="0.3">
      <c r="A1105" s="275"/>
      <c r="B1105" s="401" t="s">
        <v>439</v>
      </c>
      <c r="C1105" s="402"/>
      <c r="D1105" s="402"/>
      <c r="E1105" s="402"/>
      <c r="F1105" s="402"/>
      <c r="G1105" s="402"/>
      <c r="H1105" s="402"/>
      <c r="K1105" s="308" t="s">
        <v>151</v>
      </c>
      <c r="L1105" s="40"/>
      <c r="M1105" s="1"/>
    </row>
    <row r="1106" spans="1:13" ht="15" x14ac:dyDescent="0.25">
      <c r="A1106" s="280" t="s">
        <v>440</v>
      </c>
      <c r="B1106" s="264">
        <f>B458</f>
        <v>41456</v>
      </c>
      <c r="C1106" s="24"/>
      <c r="D1106" s="24"/>
      <c r="E1106" s="228"/>
      <c r="F1106" s="229"/>
      <c r="G1106" s="69"/>
      <c r="H1106" s="24"/>
      <c r="K1106" s="308" t="s">
        <v>151</v>
      </c>
      <c r="L1106" s="40"/>
      <c r="M1106" s="1"/>
    </row>
    <row r="1107" spans="1:13" ht="15" x14ac:dyDescent="0.2">
      <c r="A1107" s="280" t="s">
        <v>441</v>
      </c>
      <c r="B1107" s="310">
        <f>ROUND(B1049,2)</f>
        <v>0</v>
      </c>
      <c r="C1107" s="24"/>
      <c r="D1107" s="24"/>
      <c r="E1107" s="58"/>
      <c r="F1107" s="24"/>
      <c r="G1107" s="69"/>
      <c r="H1107" s="24"/>
      <c r="K1107" s="308" t="s">
        <v>151</v>
      </c>
      <c r="L1107" s="40"/>
      <c r="M1107" s="1"/>
    </row>
    <row r="1108" spans="1:13" ht="15" x14ac:dyDescent="0.2">
      <c r="A1108" s="280" t="s">
        <v>442</v>
      </c>
      <c r="B1108" s="265">
        <f>IF(MONTH(B1106)&lt;=6,YEAR(B1106),YEAR(B1106)+1)</f>
        <v>2014</v>
      </c>
      <c r="C1108" s="24"/>
      <c r="D1108" s="24"/>
      <c r="E1108" s="58"/>
      <c r="F1108" s="58"/>
      <c r="G1108" s="346"/>
      <c r="H1108" s="24"/>
      <c r="K1108" s="308" t="s">
        <v>151</v>
      </c>
      <c r="L1108" s="40"/>
      <c r="M1108" s="1"/>
    </row>
    <row r="1109" spans="1:13" ht="15" x14ac:dyDescent="0.2">
      <c r="A1109" s="280" t="s">
        <v>443</v>
      </c>
      <c r="B1109" s="266" t="str">
        <f>B486</f>
        <v>- Select -</v>
      </c>
      <c r="C1109" s="24"/>
      <c r="D1109" s="24"/>
      <c r="E1109" s="58"/>
      <c r="F1109" s="24"/>
      <c r="G1109" s="69"/>
      <c r="H1109" s="24"/>
      <c r="K1109" s="308" t="s">
        <v>151</v>
      </c>
      <c r="L1109" s="40"/>
      <c r="M1109" s="1"/>
    </row>
    <row r="1110" spans="1:13" x14ac:dyDescent="0.2">
      <c r="B1110" s="236"/>
      <c r="C1110" s="24"/>
      <c r="D1110" s="24"/>
      <c r="E1110" s="24"/>
      <c r="F1110" s="24"/>
      <c r="G1110" s="69"/>
      <c r="H1110" s="24"/>
      <c r="K1110" s="308" t="s">
        <v>151</v>
      </c>
      <c r="L1110" s="40"/>
      <c r="M1110" s="1"/>
    </row>
    <row r="1111" spans="1:13" ht="30" x14ac:dyDescent="0.2">
      <c r="A1111" s="280" t="s">
        <v>444</v>
      </c>
      <c r="B1111" s="267" t="s">
        <v>445</v>
      </c>
      <c r="C1111" s="96" t="s">
        <v>446</v>
      </c>
      <c r="D1111" s="96" t="s">
        <v>447</v>
      </c>
      <c r="E1111" s="96" t="s">
        <v>448</v>
      </c>
      <c r="F1111" s="96" t="s">
        <v>449</v>
      </c>
      <c r="G1111" s="96" t="s">
        <v>450</v>
      </c>
      <c r="H1111" s="24"/>
      <c r="K1111" s="308" t="s">
        <v>151</v>
      </c>
      <c r="L1111" s="40"/>
      <c r="M1111" s="1"/>
    </row>
    <row r="1112" spans="1:13" x14ac:dyDescent="0.2">
      <c r="B1112" s="268">
        <f>DATE($B$1108-1,7,1)</f>
        <v>41456</v>
      </c>
      <c r="C1112" s="97">
        <f>DATE($B$1108,6,30)</f>
        <v>41820</v>
      </c>
      <c r="D1112" s="103">
        <f>C1112-B1112+1</f>
        <v>365</v>
      </c>
      <c r="E1112" s="104">
        <f>DATE(YEAR($B$1106)+(MONTH($B$1106)&gt;6)*1,6,30)-($B$1106-1)</f>
        <v>365</v>
      </c>
      <c r="F1112" s="113">
        <f t="shared" ref="F1112:F1117" si="2">ROUND($B$1107*E1112/((DATE(YEAR($B$1106)+5,MONTH($B$1106),DAY($B$1106)))-$B$1106),2)</f>
        <v>0</v>
      </c>
      <c r="G1112" s="313">
        <f>IF($B$1107&gt;SUM(F1112:F1117),F1112+($B$1107-F1118),F1112)</f>
        <v>0</v>
      </c>
      <c r="H1112" s="24"/>
      <c r="K1112" s="308" t="s">
        <v>151</v>
      </c>
      <c r="L1112" s="40"/>
      <c r="M1112" s="1"/>
    </row>
    <row r="1113" spans="1:13" x14ac:dyDescent="0.2">
      <c r="B1113" s="268">
        <f>DATE($B$1108,7,1)</f>
        <v>41821</v>
      </c>
      <c r="C1113" s="97">
        <f>DATE($B$1108+1,6,30)</f>
        <v>42185</v>
      </c>
      <c r="D1113" s="103">
        <f t="shared" ref="D1113:D1117" si="3">C1113-B1113+1</f>
        <v>365</v>
      </c>
      <c r="E1113" s="104">
        <f>DATE(YEAR(C1113)+(MONTH(C1113)&gt;6)*1,6,30)-C1112</f>
        <v>365</v>
      </c>
      <c r="F1113" s="113">
        <f t="shared" si="2"/>
        <v>0</v>
      </c>
      <c r="G1113" s="317">
        <f>F1113</f>
        <v>0</v>
      </c>
      <c r="H1113" s="24"/>
      <c r="K1113" s="308" t="s">
        <v>151</v>
      </c>
      <c r="L1113" s="40"/>
      <c r="M1113" s="1"/>
    </row>
    <row r="1114" spans="1:13" x14ac:dyDescent="0.2">
      <c r="B1114" s="268">
        <f>DATE($B$1108+1,7,1)</f>
        <v>42186</v>
      </c>
      <c r="C1114" s="97">
        <f>DATE($B$1108+2,6,30)</f>
        <v>42551</v>
      </c>
      <c r="D1114" s="103">
        <f t="shared" si="3"/>
        <v>366</v>
      </c>
      <c r="E1114" s="104">
        <f>DATE(YEAR(C1114)+(MONTH(C1114)&gt;6)*1,6,30)-C1113</f>
        <v>366</v>
      </c>
      <c r="F1114" s="113">
        <f t="shared" si="2"/>
        <v>0</v>
      </c>
      <c r="G1114" s="317">
        <f>F1114</f>
        <v>0</v>
      </c>
      <c r="H1114" s="24"/>
      <c r="K1114" s="308" t="s">
        <v>151</v>
      </c>
      <c r="L1114" s="40"/>
      <c r="M1114" s="1"/>
    </row>
    <row r="1115" spans="1:13" x14ac:dyDescent="0.2">
      <c r="B1115" s="268">
        <f>DATE($B$1108+2,7,1)</f>
        <v>42552</v>
      </c>
      <c r="C1115" s="97">
        <f>DATE($B$1108+3,6,30)</f>
        <v>42916</v>
      </c>
      <c r="D1115" s="103">
        <f t="shared" si="3"/>
        <v>365</v>
      </c>
      <c r="E1115" s="104">
        <f>DATE(YEAR(C1115)+(MONTH(C1115)&gt;6)*1,6,30)-C1114</f>
        <v>365</v>
      </c>
      <c r="F1115" s="113">
        <f t="shared" si="2"/>
        <v>0</v>
      </c>
      <c r="G1115" s="317">
        <f>F1115</f>
        <v>0</v>
      </c>
      <c r="H1115" s="24"/>
      <c r="K1115" s="308" t="s">
        <v>151</v>
      </c>
      <c r="L1115" s="40"/>
      <c r="M1115" s="1"/>
    </row>
    <row r="1116" spans="1:13" x14ac:dyDescent="0.2">
      <c r="B1116" s="268">
        <f>DATE($B$1108+3,7,1)</f>
        <v>42917</v>
      </c>
      <c r="C1116" s="97">
        <f>DATE($B$1108+4,6,30)</f>
        <v>43281</v>
      </c>
      <c r="D1116" s="103">
        <f t="shared" si="3"/>
        <v>365</v>
      </c>
      <c r="E1116" s="104">
        <f>DATE(YEAR(C1116)+(MONTH(C1116)&gt;6)*1,6,30)-C1115</f>
        <v>365</v>
      </c>
      <c r="F1116" s="113">
        <f t="shared" si="2"/>
        <v>0</v>
      </c>
      <c r="G1116" s="313">
        <f>IF(AND(E1117=0,SUM(F1112:F1117)&gt;$B$1107),F1116-(F1118-B1107),IF(AND(E1117&lt;&gt;0,$B$1107&lt;F1118),F1116,IF($B$1107&lt;SUM(F1112:F1117),F1116-(F1118-$B$1107),F1116)))</f>
        <v>0</v>
      </c>
      <c r="H1116" s="24"/>
      <c r="K1116" s="308" t="s">
        <v>151</v>
      </c>
      <c r="L1116" s="40"/>
      <c r="M1116" s="1"/>
    </row>
    <row r="1117" spans="1:13" x14ac:dyDescent="0.2">
      <c r="B1117" s="268">
        <f>DATE($B$1108+4,7,1)</f>
        <v>43282</v>
      </c>
      <c r="C1117" s="97">
        <f>DATE($B$1108+5,6,30)</f>
        <v>43646</v>
      </c>
      <c r="D1117" s="103">
        <f t="shared" si="3"/>
        <v>365</v>
      </c>
      <c r="E1117" s="104">
        <f>((DATE(YEAR($B$1106)+5,MONTH($B$1106),DAY($B$1106)))-$B$1106)-SUM($E$1112:$E$1116)</f>
        <v>0</v>
      </c>
      <c r="F1117" s="113">
        <f t="shared" si="2"/>
        <v>0</v>
      </c>
      <c r="G1117" s="313">
        <f>IF(E1117=0,F1117,IF($B$1107&lt;SUM(F1112:F1117),F1117-(F1118-$B$1107),F1117))</f>
        <v>0</v>
      </c>
      <c r="H1117" s="24"/>
      <c r="K1117" s="308" t="s">
        <v>151</v>
      </c>
      <c r="L1117" s="40"/>
      <c r="M1117" s="1"/>
    </row>
    <row r="1118" spans="1:13" ht="15" x14ac:dyDescent="0.25">
      <c r="B1118" s="269"/>
      <c r="C1118" s="98" t="s">
        <v>451</v>
      </c>
      <c r="D1118" s="98"/>
      <c r="E1118" s="99">
        <f>SUM(E1112:E1117)</f>
        <v>1826</v>
      </c>
      <c r="F1118" s="311">
        <f>SUM(F1112:F1117)</f>
        <v>0</v>
      </c>
      <c r="G1118" s="311">
        <f>SUM(G1112:G1117)</f>
        <v>0</v>
      </c>
      <c r="H1118" s="312">
        <f>IF(F1118&lt;&gt;$B$1107,G1118,F1118)</f>
        <v>0</v>
      </c>
      <c r="K1118" s="308" t="s">
        <v>151</v>
      </c>
      <c r="L1118" s="40"/>
      <c r="M1118" s="1"/>
    </row>
    <row r="1119" spans="1:13" ht="15" x14ac:dyDescent="0.25">
      <c r="B1119" s="236"/>
      <c r="C1119" s="24"/>
      <c r="D1119" s="24"/>
      <c r="E1119" s="229"/>
      <c r="F1119" s="230"/>
      <c r="G1119" s="229"/>
      <c r="H1119" s="24"/>
      <c r="K1119" s="308" t="s">
        <v>85</v>
      </c>
      <c r="L1119" s="40"/>
      <c r="M1119" s="1"/>
    </row>
    <row r="1120" spans="1:13" ht="30" x14ac:dyDescent="0.2">
      <c r="A1120" s="280" t="s">
        <v>452</v>
      </c>
      <c r="B1120" s="267" t="s">
        <v>445</v>
      </c>
      <c r="C1120" s="96" t="s">
        <v>446</v>
      </c>
      <c r="D1120" s="96" t="s">
        <v>447</v>
      </c>
      <c r="E1120" s="96" t="s">
        <v>448</v>
      </c>
      <c r="F1120" s="96" t="s">
        <v>449</v>
      </c>
      <c r="G1120" s="96" t="s">
        <v>450</v>
      </c>
      <c r="H1120" s="24"/>
      <c r="K1120" s="308" t="s">
        <v>151</v>
      </c>
      <c r="L1120" s="40"/>
      <c r="M1120" s="1"/>
    </row>
    <row r="1121" spans="1:13" x14ac:dyDescent="0.2">
      <c r="B1121" s="268">
        <f>DATE($B$1108-1,7,1)</f>
        <v>41456</v>
      </c>
      <c r="C1121" s="97">
        <f>DATE($B$1108,6,30)</f>
        <v>41820</v>
      </c>
      <c r="D1121" s="103">
        <f>C1121-B1121+1</f>
        <v>365</v>
      </c>
      <c r="E1121" s="104">
        <f>DATE(YEAR($B$1106)+(MONTH($B$1106)&gt;6)*1,6,30)-($B$1106-1)</f>
        <v>365</v>
      </c>
      <c r="F1121" s="113">
        <f>ROUND($B$1107*E1121/((DATE(YEAR($B$1106)+4,MONTH($B$1106),DAY($B$1106)))-$B$1106),2)</f>
        <v>0</v>
      </c>
      <c r="G1121" s="313">
        <f>IF($B$1107&gt;SUM(F1121:F1126),F1121+($B$1107-F1127),F1121)</f>
        <v>0</v>
      </c>
      <c r="H1121" s="24"/>
      <c r="K1121" s="308" t="s">
        <v>151</v>
      </c>
      <c r="L1121" s="40"/>
      <c r="M1121" s="1"/>
    </row>
    <row r="1122" spans="1:13" x14ac:dyDescent="0.2">
      <c r="B1122" s="268">
        <f>DATE($B$1108,7,1)</f>
        <v>41821</v>
      </c>
      <c r="C1122" s="97">
        <f>DATE($B$1108+1,6,30)</f>
        <v>42185</v>
      </c>
      <c r="D1122" s="103">
        <f t="shared" ref="D1122:D1125" si="4">C1122-B1122+1</f>
        <v>365</v>
      </c>
      <c r="E1122" s="104">
        <f>DATE(YEAR(C1122)+(MONTH(C1122)&gt;6)*1,6,30)-C1121</f>
        <v>365</v>
      </c>
      <c r="F1122" s="113">
        <f>ROUND($B$1107*E1122/((DATE(YEAR($B$1106)+4,MONTH($B$1106),DAY($B$1106)))-$B$1106),2)</f>
        <v>0</v>
      </c>
      <c r="G1122" s="317">
        <f>F1122</f>
        <v>0</v>
      </c>
      <c r="H1122" s="24"/>
      <c r="K1122" s="308" t="s">
        <v>151</v>
      </c>
      <c r="L1122" s="40"/>
      <c r="M1122" s="1"/>
    </row>
    <row r="1123" spans="1:13" x14ac:dyDescent="0.2">
      <c r="B1123" s="268">
        <f>DATE($B$1108+1,7,1)</f>
        <v>42186</v>
      </c>
      <c r="C1123" s="97">
        <f>DATE($B$1108+2,6,30)</f>
        <v>42551</v>
      </c>
      <c r="D1123" s="103">
        <f t="shared" si="4"/>
        <v>366</v>
      </c>
      <c r="E1123" s="104">
        <f>DATE(YEAR(C1123)+(MONTH(C1123)&gt;6)*1,6,30)-C1122</f>
        <v>366</v>
      </c>
      <c r="F1123" s="113">
        <f>ROUND($B$1107*E1123/((DATE(YEAR($B$1106)+4,MONTH($B$1106),DAY($B$1106)))-$B$1106),2)</f>
        <v>0</v>
      </c>
      <c r="G1123" s="317">
        <f>F1123</f>
        <v>0</v>
      </c>
      <c r="H1123" s="24"/>
      <c r="K1123" s="308" t="s">
        <v>151</v>
      </c>
      <c r="L1123" s="40"/>
      <c r="M1123" s="1"/>
    </row>
    <row r="1124" spans="1:13" x14ac:dyDescent="0.2">
      <c r="B1124" s="268">
        <f>DATE($B$1108+2,7,1)</f>
        <v>42552</v>
      </c>
      <c r="C1124" s="97">
        <f>DATE($B$1108+3,6,30)</f>
        <v>42916</v>
      </c>
      <c r="D1124" s="103">
        <f t="shared" si="4"/>
        <v>365</v>
      </c>
      <c r="E1124" s="104">
        <f>DATE(YEAR(C1124)+(MONTH(C1124)&gt;6)*1,6,30)-C1123</f>
        <v>365</v>
      </c>
      <c r="F1124" s="113">
        <f>ROUND($B$1107*E1124/((DATE(YEAR($B$1106)+4,MONTH($B$1106),DAY($B$1106)))-$B$1106),2)</f>
        <v>0</v>
      </c>
      <c r="G1124" s="313">
        <f>IF(AND(E1125=0,SUM(F1121:F1125)&gt;$B$1107),F1124-(F1127-$B$1107),IF(AND(E1125&lt;&gt;0,$B$1107&lt;F1127),F1124,IF($B$1107&lt;SUM(F1121:F1125),F1124-(F1127-$B$1107),F1124)))</f>
        <v>0</v>
      </c>
      <c r="H1124" s="24"/>
      <c r="K1124" s="308" t="s">
        <v>151</v>
      </c>
      <c r="L1124" s="40"/>
      <c r="M1124" s="1"/>
    </row>
    <row r="1125" spans="1:13" x14ac:dyDescent="0.2">
      <c r="B1125" s="268">
        <f>DATE($B$1108+3,7,1)</f>
        <v>42917</v>
      </c>
      <c r="C1125" s="97">
        <f>DATE($B$1108+4,6,30)</f>
        <v>43281</v>
      </c>
      <c r="D1125" s="103">
        <f t="shared" si="4"/>
        <v>365</v>
      </c>
      <c r="E1125" s="104">
        <f>((DATE(YEAR($B$1106)+4,MONTH($B$1106),DAY($B$1106)))-$B$1106)-SUM($E$1121:E1124)</f>
        <v>0</v>
      </c>
      <c r="F1125" s="113">
        <f>ROUND($B$1107*E1125/((DATE(YEAR($B$1106)+4,MONTH($B$1106),DAY($B$1106)))-$B$1106),2)</f>
        <v>0</v>
      </c>
      <c r="G1125" s="313">
        <f>IF(E1125=0,F1125,IF($B$1107&lt;SUM(F1120:F1125),F1125-(F1127-$B$1107),F1125))</f>
        <v>0</v>
      </c>
      <c r="H1125" s="24"/>
      <c r="K1125" s="308" t="s">
        <v>151</v>
      </c>
      <c r="L1125" s="40"/>
      <c r="M1125" s="1"/>
    </row>
    <row r="1126" spans="1:13" x14ac:dyDescent="0.2">
      <c r="B1126" s="268">
        <f>DATE($B$1108+4,7,1)</f>
        <v>43282</v>
      </c>
      <c r="C1126" s="97">
        <f>DATE($B$1108+5,6,30)</f>
        <v>43646</v>
      </c>
      <c r="D1126" s="103"/>
      <c r="E1126" s="104"/>
      <c r="F1126" s="113"/>
      <c r="G1126" s="313"/>
      <c r="H1126" s="24"/>
      <c r="K1126" s="308" t="s">
        <v>151</v>
      </c>
      <c r="L1126" s="40"/>
      <c r="M1126" s="1"/>
    </row>
    <row r="1127" spans="1:13" ht="15" x14ac:dyDescent="0.25">
      <c r="B1127" s="269"/>
      <c r="C1127" s="98" t="s">
        <v>451</v>
      </c>
      <c r="D1127" s="98"/>
      <c r="E1127" s="99">
        <f>SUM(E1121:E1126)</f>
        <v>1461</v>
      </c>
      <c r="F1127" s="113">
        <f>SUM(F1121:F1125)</f>
        <v>0</v>
      </c>
      <c r="G1127" s="311">
        <f>SUM(G1121:G1126)</f>
        <v>0</v>
      </c>
      <c r="H1127" s="312">
        <f>IF(F1127&lt;&gt;$B$1107,G1127,F1127)</f>
        <v>0</v>
      </c>
      <c r="K1127" s="308" t="s">
        <v>151</v>
      </c>
      <c r="L1127" s="40"/>
      <c r="M1127" s="1"/>
    </row>
    <row r="1128" spans="1:13" ht="15" x14ac:dyDescent="0.25">
      <c r="B1128" s="236"/>
      <c r="C1128" s="24"/>
      <c r="D1128" s="24"/>
      <c r="E1128" s="231"/>
      <c r="F1128" s="232"/>
      <c r="G1128" s="229"/>
      <c r="H1128" s="24"/>
      <c r="K1128" s="308" t="s">
        <v>85</v>
      </c>
      <c r="L1128" s="40"/>
      <c r="M1128" s="1"/>
    </row>
    <row r="1129" spans="1:13" ht="30" x14ac:dyDescent="0.2">
      <c r="A1129" s="280" t="s">
        <v>453</v>
      </c>
      <c r="B1129" s="267" t="s">
        <v>445</v>
      </c>
      <c r="C1129" s="96" t="s">
        <v>446</v>
      </c>
      <c r="D1129" s="96" t="s">
        <v>447</v>
      </c>
      <c r="E1129" s="96" t="s">
        <v>448</v>
      </c>
      <c r="F1129" s="96" t="s">
        <v>449</v>
      </c>
      <c r="G1129" s="96" t="s">
        <v>450</v>
      </c>
      <c r="H1129" s="24"/>
      <c r="K1129" s="308" t="s">
        <v>151</v>
      </c>
      <c r="L1129" s="40"/>
      <c r="M1129" s="1"/>
    </row>
    <row r="1130" spans="1:13" x14ac:dyDescent="0.2">
      <c r="B1130" s="268">
        <f>DATE($B$1108-1,7,1)</f>
        <v>41456</v>
      </c>
      <c r="C1130" s="97">
        <f>DATE($B$1108,6,30)</f>
        <v>41820</v>
      </c>
      <c r="D1130" s="103">
        <f>C1130-B1130+1</f>
        <v>365</v>
      </c>
      <c r="E1130" s="104">
        <f>DATE(YEAR($B$1106)+(MONTH($B$1106)&gt;6)*1,6,30)-($B$1106-1)</f>
        <v>365</v>
      </c>
      <c r="F1130" s="113">
        <f>ROUND($B$1107*E1130/((DATE(YEAR($B$1106)+3,MONTH($B$1106),DAY($B$1106)))-$B$1106),2)</f>
        <v>0</v>
      </c>
      <c r="G1130" s="313">
        <f>IF($B$1107&gt;SUM(F1130:F1133),F1130+$B$1107-F1136,F1130)</f>
        <v>0</v>
      </c>
      <c r="H1130" s="24"/>
      <c r="I1130" s="316"/>
      <c r="K1130" s="308" t="s">
        <v>151</v>
      </c>
      <c r="L1130" s="40"/>
      <c r="M1130" s="1"/>
    </row>
    <row r="1131" spans="1:13" x14ac:dyDescent="0.2">
      <c r="B1131" s="268">
        <f>DATE($B$1108,7,1)</f>
        <v>41821</v>
      </c>
      <c r="C1131" s="97">
        <f>DATE($B$1108+1,6,30)</f>
        <v>42185</v>
      </c>
      <c r="D1131" s="103">
        <f t="shared" ref="D1131:D1133" si="5">C1131-B1131+1</f>
        <v>365</v>
      </c>
      <c r="E1131" s="104">
        <f>DATE(YEAR(C1131)+(MONTH(C1131)&gt;6)*1,6,30)-C1130</f>
        <v>365</v>
      </c>
      <c r="F1131" s="113">
        <f>ROUND($B$1107*E1131/((DATE(YEAR($B$1106)+3,MONTH($B$1106),DAY($B$1106)))-$B$1106),2)</f>
        <v>0</v>
      </c>
      <c r="G1131" s="317">
        <f>F1131</f>
        <v>0</v>
      </c>
      <c r="H1131" s="24"/>
      <c r="K1131" s="308" t="s">
        <v>151</v>
      </c>
      <c r="L1131" s="40"/>
      <c r="M1131" s="1"/>
    </row>
    <row r="1132" spans="1:13" x14ac:dyDescent="0.2">
      <c r="B1132" s="268">
        <f>DATE($B$1108+1,7,1)</f>
        <v>42186</v>
      </c>
      <c r="C1132" s="97">
        <f>DATE($B$1108+2,6,30)</f>
        <v>42551</v>
      </c>
      <c r="D1132" s="103">
        <f t="shared" si="5"/>
        <v>366</v>
      </c>
      <c r="E1132" s="104">
        <f>DATE(YEAR(C1132)+(MONTH(C1132)&gt;6)*1,6,30)-C1131</f>
        <v>366</v>
      </c>
      <c r="F1132" s="113">
        <f>ROUND($B$1107*E1132/((DATE(YEAR($B$1106)+3,MONTH($B$1106),DAY($B$1106)))-$B$1106),2)</f>
        <v>0</v>
      </c>
      <c r="G1132" s="313">
        <f>IF(AND(E1133=0,SUM(F1130:F1135)&gt;$B$1107),F1132-(F1136-$B$1107),IF(AND(E1132&lt;&gt;0,$B$1107&lt;F1136),F1132,IF($B$1107&lt;SUM(F1130:F1135),F1132-(F1136-$B$1107),F1132)))</f>
        <v>0</v>
      </c>
      <c r="H1132" s="24"/>
      <c r="K1132" s="308" t="s">
        <v>151</v>
      </c>
      <c r="L1132" s="40"/>
      <c r="M1132" s="1"/>
    </row>
    <row r="1133" spans="1:13" x14ac:dyDescent="0.2">
      <c r="B1133" s="268">
        <f>DATE($B$1108+2,7,1)</f>
        <v>42552</v>
      </c>
      <c r="C1133" s="97">
        <f>DATE($B$1108+3,6,30)</f>
        <v>42916</v>
      </c>
      <c r="D1133" s="103">
        <f t="shared" si="5"/>
        <v>365</v>
      </c>
      <c r="E1133" s="104">
        <f>((DATE(YEAR($B$1106)+3,MONTH($B$1106),DAY($B$1106)))-$B$1106)-SUM(E1130:$E1132)</f>
        <v>0</v>
      </c>
      <c r="F1133" s="113">
        <f>ROUND($B$1107*E1133/((DATE(YEAR($B$1106)+3,MONTH($B$1106),DAY($B$1106)))-$B$1106),2)</f>
        <v>0</v>
      </c>
      <c r="G1133" s="313">
        <f>IF(E1133=0,F1133,IF($B$1107&lt;SUM(F1129:F1133),F1133-(F1136-$B$1107),F1133))</f>
        <v>0</v>
      </c>
      <c r="H1133" s="24"/>
      <c r="K1133" s="308" t="s">
        <v>151</v>
      </c>
      <c r="L1133" s="40"/>
      <c r="M1133" s="1"/>
    </row>
    <row r="1134" spans="1:13" x14ac:dyDescent="0.2">
      <c r="B1134" s="268">
        <f>DATE($B$1108+3,7,1)</f>
        <v>42917</v>
      </c>
      <c r="C1134" s="97">
        <f>DATE($B$1108+4,6,30)</f>
        <v>43281</v>
      </c>
      <c r="D1134" s="103"/>
      <c r="E1134" s="104"/>
      <c r="F1134" s="113"/>
      <c r="G1134" s="313"/>
      <c r="H1134" s="24"/>
      <c r="K1134" s="308" t="s">
        <v>151</v>
      </c>
      <c r="L1134" s="40"/>
      <c r="M1134" s="1"/>
    </row>
    <row r="1135" spans="1:13" x14ac:dyDescent="0.2">
      <c r="B1135" s="268">
        <f>DATE($B$1108+4,7,1)</f>
        <v>43282</v>
      </c>
      <c r="C1135" s="97">
        <f>DATE($B$1108+5,6,30)</f>
        <v>43646</v>
      </c>
      <c r="D1135" s="97"/>
      <c r="E1135" s="104"/>
      <c r="F1135" s="113"/>
      <c r="G1135" s="313"/>
      <c r="H1135" s="24"/>
      <c r="K1135" s="308" t="s">
        <v>151</v>
      </c>
      <c r="L1135" s="40"/>
      <c r="M1135" s="1"/>
    </row>
    <row r="1136" spans="1:13" ht="15" x14ac:dyDescent="0.25">
      <c r="B1136" s="270"/>
      <c r="C1136" s="98" t="s">
        <v>451</v>
      </c>
      <c r="D1136" s="98"/>
      <c r="E1136" s="99">
        <f>SUM(E1130:E1135)</f>
        <v>1096</v>
      </c>
      <c r="F1136" s="113">
        <f>SUM(F1130:F1135)</f>
        <v>0</v>
      </c>
      <c r="G1136" s="311">
        <f>SUM(G1130:G1135)</f>
        <v>0</v>
      </c>
      <c r="H1136" s="312">
        <f>IF(F1136&lt;&gt;$B$1107,G1136,F1136)</f>
        <v>0</v>
      </c>
      <c r="K1136" s="308" t="s">
        <v>151</v>
      </c>
      <c r="L1136" s="40"/>
      <c r="M1136" s="1"/>
    </row>
    <row r="1137" spans="1:13" ht="15" x14ac:dyDescent="0.25">
      <c r="B1137" s="270"/>
      <c r="C1137" s="231"/>
      <c r="D1137" s="231"/>
      <c r="E1137" s="231"/>
      <c r="F1137" s="232"/>
      <c r="G1137" s="229"/>
      <c r="H1137" s="24"/>
      <c r="K1137" s="308" t="s">
        <v>85</v>
      </c>
      <c r="L1137" s="40"/>
      <c r="M1137" s="1"/>
    </row>
    <row r="1138" spans="1:13" ht="30" x14ac:dyDescent="0.2">
      <c r="A1138" s="280" t="s">
        <v>454</v>
      </c>
      <c r="B1138" s="267" t="s">
        <v>445</v>
      </c>
      <c r="C1138" s="96" t="s">
        <v>446</v>
      </c>
      <c r="D1138" s="96" t="s">
        <v>447</v>
      </c>
      <c r="E1138" s="96" t="s">
        <v>448</v>
      </c>
      <c r="F1138" s="96" t="s">
        <v>449</v>
      </c>
      <c r="G1138" s="96" t="s">
        <v>450</v>
      </c>
      <c r="H1138" s="24"/>
      <c r="K1138" s="308" t="s">
        <v>151</v>
      </c>
      <c r="L1138" s="40"/>
      <c r="M1138" s="1"/>
    </row>
    <row r="1139" spans="1:13" x14ac:dyDescent="0.2">
      <c r="B1139" s="268">
        <f>DATE($B$1108-1,7,1)</f>
        <v>41456</v>
      </c>
      <c r="C1139" s="97">
        <f>DATE($B$1108,6,30)</f>
        <v>41820</v>
      </c>
      <c r="D1139" s="103">
        <f>C1139-B1139+1</f>
        <v>365</v>
      </c>
      <c r="E1139" s="104">
        <f>DATE(YEAR($B$1106)+(MONTH($B$1106)&gt;6)*1,6,30)-($B$1106-1)</f>
        <v>365</v>
      </c>
      <c r="F1139" s="113">
        <f>ROUND($B$1107*E1139/((DATE(YEAR($B$1106)+2,MONTH($B$1106),DAY($B$1106)))-$B$1106),2)</f>
        <v>0</v>
      </c>
      <c r="G1139" s="313">
        <f>IF($B$1107&gt;SUM(F1139:F1141),F1139+$B$1107-F1145,F1139)</f>
        <v>0</v>
      </c>
      <c r="H1139" s="24"/>
      <c r="K1139" s="308" t="s">
        <v>151</v>
      </c>
      <c r="L1139" s="40"/>
      <c r="M1139" s="1"/>
    </row>
    <row r="1140" spans="1:13" x14ac:dyDescent="0.2">
      <c r="B1140" s="268">
        <f>DATE($B$1108,7,1)</f>
        <v>41821</v>
      </c>
      <c r="C1140" s="97">
        <f>DATE($B$1108+1,6,30)</f>
        <v>42185</v>
      </c>
      <c r="D1140" s="103">
        <f t="shared" ref="D1140:D1141" si="6">C1140-B1140+1</f>
        <v>365</v>
      </c>
      <c r="E1140" s="104">
        <f>DATE(YEAR(C1140)+(MONTH(C1140)&gt;6)*1,6,30)-C1139</f>
        <v>365</v>
      </c>
      <c r="F1140" s="113">
        <f>ROUND($B$1107*E1140/((DATE(YEAR($B$1106)+2,MONTH($B$1106),DAY($B$1106)))-$B$1106),2)</f>
        <v>0</v>
      </c>
      <c r="G1140" s="313">
        <f>IF(AND(E1141=0,SUM(F1139:F1144)&gt;$B$1107),F1140-(F1145-$B$1107),IF(AND(E1140&lt;&gt;0,$B$1107&lt;F1145),F1140,IF($B$1107&lt;SUM(F1139:F1144),F1140-(F1145-$B$1107),F1140)))</f>
        <v>0</v>
      </c>
      <c r="H1140" s="24"/>
      <c r="K1140" s="308" t="s">
        <v>151</v>
      </c>
      <c r="L1140" s="40"/>
      <c r="M1140" s="1"/>
    </row>
    <row r="1141" spans="1:13" x14ac:dyDescent="0.2">
      <c r="B1141" s="268">
        <f>DATE($B$1108+1,7,1)</f>
        <v>42186</v>
      </c>
      <c r="C1141" s="97">
        <f>DATE($B$1108+2,6,30)</f>
        <v>42551</v>
      </c>
      <c r="D1141" s="103">
        <f t="shared" si="6"/>
        <v>366</v>
      </c>
      <c r="E1141" s="104">
        <f>((DATE(YEAR($B$1106)+2,MONTH($B$1106),DAY($B$1106)))-$B$1106)-SUM(E1139:E1140)</f>
        <v>0</v>
      </c>
      <c r="F1141" s="113">
        <f>ROUND($B$1107*E1141/((DATE(YEAR($B$1106)+2,MONTH($B$1106),DAY($B$1106)))-$B$1106),2)</f>
        <v>0</v>
      </c>
      <c r="G1141" s="313">
        <f>IF(E1141=0,F1141,IF($B$1107&lt;SUM(F1139:F1141),F1141-(F1145-$B$1107),F1141))</f>
        <v>0</v>
      </c>
      <c r="H1141" s="24"/>
      <c r="K1141" s="308" t="s">
        <v>151</v>
      </c>
      <c r="L1141" s="40"/>
      <c r="M1141" s="1"/>
    </row>
    <row r="1142" spans="1:13" x14ac:dyDescent="0.2">
      <c r="B1142" s="268">
        <f>DATE($B$1108+2,7,1)</f>
        <v>42552</v>
      </c>
      <c r="C1142" s="97">
        <f>DATE($B$1108+3,6,30)</f>
        <v>42916</v>
      </c>
      <c r="D1142" s="103"/>
      <c r="E1142" s="104"/>
      <c r="F1142" s="113"/>
      <c r="G1142" s="314"/>
      <c r="H1142" s="24"/>
      <c r="K1142" s="308" t="s">
        <v>151</v>
      </c>
      <c r="L1142" s="40"/>
      <c r="M1142" s="1"/>
    </row>
    <row r="1143" spans="1:13" x14ac:dyDescent="0.2">
      <c r="B1143" s="268">
        <f>DATE($B$1108+3,7,1)</f>
        <v>42917</v>
      </c>
      <c r="C1143" s="97">
        <f>DATE($B$1108+4,6,30)</f>
        <v>43281</v>
      </c>
      <c r="D1143" s="103"/>
      <c r="E1143" s="104"/>
      <c r="F1143" s="113"/>
      <c r="G1143" s="313"/>
      <c r="H1143" s="24"/>
      <c r="K1143" s="308" t="s">
        <v>151</v>
      </c>
      <c r="L1143" s="40"/>
      <c r="M1143" s="1"/>
    </row>
    <row r="1144" spans="1:13" x14ac:dyDescent="0.2">
      <c r="B1144" s="268">
        <f>DATE($B$1108+4,7,1)</f>
        <v>43282</v>
      </c>
      <c r="C1144" s="97">
        <f>DATE($B$1108+5,6,30)</f>
        <v>43646</v>
      </c>
      <c r="D1144" s="97"/>
      <c r="E1144" s="104"/>
      <c r="F1144" s="113"/>
      <c r="G1144" s="313"/>
      <c r="H1144" s="24"/>
      <c r="K1144" s="308" t="s">
        <v>151</v>
      </c>
      <c r="L1144" s="40"/>
      <c r="M1144" s="1"/>
    </row>
    <row r="1145" spans="1:13" ht="15" x14ac:dyDescent="0.25">
      <c r="B1145" s="270"/>
      <c r="C1145" s="98" t="s">
        <v>451</v>
      </c>
      <c r="D1145" s="98"/>
      <c r="E1145" s="99">
        <f>SUM(E1139:E1144)</f>
        <v>730</v>
      </c>
      <c r="F1145" s="113">
        <f>SUM(F1139:F1144)</f>
        <v>0</v>
      </c>
      <c r="G1145" s="311">
        <f>SUM(G1139:G1144)</f>
        <v>0</v>
      </c>
      <c r="H1145" s="312">
        <f>IF(F1145&lt;&gt;$B$1107,G1145,F1145)</f>
        <v>0</v>
      </c>
      <c r="K1145" s="308" t="s">
        <v>151</v>
      </c>
      <c r="L1145" s="40"/>
      <c r="M1145" s="1"/>
    </row>
    <row r="1146" spans="1:13" ht="15" x14ac:dyDescent="0.25">
      <c r="B1146" s="270"/>
      <c r="C1146" s="231"/>
      <c r="D1146" s="231"/>
      <c r="E1146" s="231"/>
      <c r="F1146" s="232"/>
      <c r="G1146" s="229"/>
      <c r="H1146" s="24"/>
      <c r="K1146" s="308" t="s">
        <v>85</v>
      </c>
      <c r="L1146" s="40"/>
      <c r="M1146" s="1"/>
    </row>
    <row r="1147" spans="1:13" ht="30" x14ac:dyDescent="0.2">
      <c r="A1147" s="280" t="s">
        <v>455</v>
      </c>
      <c r="B1147" s="267" t="s">
        <v>445</v>
      </c>
      <c r="C1147" s="96" t="s">
        <v>446</v>
      </c>
      <c r="D1147" s="96" t="s">
        <v>447</v>
      </c>
      <c r="E1147" s="96" t="s">
        <v>448</v>
      </c>
      <c r="F1147" s="96" t="s">
        <v>449</v>
      </c>
      <c r="G1147" s="96" t="s">
        <v>450</v>
      </c>
      <c r="H1147" s="24"/>
      <c r="K1147" s="308" t="s">
        <v>151</v>
      </c>
      <c r="L1147" s="40"/>
      <c r="M1147" s="1"/>
    </row>
    <row r="1148" spans="1:13" x14ac:dyDescent="0.2">
      <c r="B1148" s="268">
        <f>DATE($B$1108-1,7,1)</f>
        <v>41456</v>
      </c>
      <c r="C1148" s="97">
        <f>DATE($B$1108,6,30)</f>
        <v>41820</v>
      </c>
      <c r="D1148" s="103">
        <f>C1148-B1148+1</f>
        <v>365</v>
      </c>
      <c r="E1148" s="104">
        <f>DATE(YEAR($B$1106)+(MONTH($B$1106)&gt;6)*1,6,30)-($B$1106-1)</f>
        <v>365</v>
      </c>
      <c r="F1148" s="113">
        <f>ROUND($B$1107*E1148/((DATE(YEAR($B$1106)+1,MONTH($B$1106),DAY($B$1106)))-$B$1106),2)</f>
        <v>0</v>
      </c>
      <c r="G1148" s="313">
        <f>IF($B$1107&gt;SUM(F1148:F1149),F1148+$B$1107-F1154,F1148)</f>
        <v>0</v>
      </c>
      <c r="H1148" s="24"/>
      <c r="K1148" s="308" t="s">
        <v>151</v>
      </c>
      <c r="L1148" s="40"/>
      <c r="M1148" s="1"/>
    </row>
    <row r="1149" spans="1:13" x14ac:dyDescent="0.2">
      <c r="B1149" s="268">
        <f>DATE($B$1108,7,1)</f>
        <v>41821</v>
      </c>
      <c r="C1149" s="97">
        <f>DATE($B$1108+1,6,30)</f>
        <v>42185</v>
      </c>
      <c r="D1149" s="103">
        <f t="shared" ref="D1149" si="7">C1149-B1149+1</f>
        <v>365</v>
      </c>
      <c r="E1149" s="104">
        <f>((DATE(YEAR($B$1106)+1,MONTH($B$1106),DAY($B$1106)))-$B$1106)-SUM(E1148)</f>
        <v>0</v>
      </c>
      <c r="F1149" s="113">
        <f>ROUND($B$1107*E1149/((DATE(YEAR($B$1106)+1,MONTH($B$1106),DAY($B$1106)))-$B$1106),2)</f>
        <v>0</v>
      </c>
      <c r="G1149" s="313">
        <f>IF(E1149=0,F1149,IF($B$1107&lt;SUM(F1148:F1149),F1149-(F1154-$B$1107),F1149))</f>
        <v>0</v>
      </c>
      <c r="H1149" s="24"/>
      <c r="K1149" s="308" t="s">
        <v>151</v>
      </c>
      <c r="L1149" s="40"/>
      <c r="M1149" s="1"/>
    </row>
    <row r="1150" spans="1:13" x14ac:dyDescent="0.2">
      <c r="B1150" s="268">
        <f>DATE($B$1108+1,7,1)</f>
        <v>42186</v>
      </c>
      <c r="C1150" s="97">
        <f>DATE($B$1108+2,6,30)</f>
        <v>42551</v>
      </c>
      <c r="D1150" s="103"/>
      <c r="E1150" s="104"/>
      <c r="F1150" s="113"/>
      <c r="G1150" s="315"/>
      <c r="H1150" s="24"/>
      <c r="K1150" s="308" t="s">
        <v>151</v>
      </c>
      <c r="L1150" s="40"/>
      <c r="M1150" s="1"/>
    </row>
    <row r="1151" spans="1:13" x14ac:dyDescent="0.2">
      <c r="B1151" s="268">
        <f>DATE($B$1108+2,7,1)</f>
        <v>42552</v>
      </c>
      <c r="C1151" s="97">
        <f>DATE($B$1108+3,6,30)</f>
        <v>42916</v>
      </c>
      <c r="D1151" s="103"/>
      <c r="E1151" s="104"/>
      <c r="F1151" s="113"/>
      <c r="G1151" s="315"/>
      <c r="H1151" s="24"/>
      <c r="K1151" s="308" t="s">
        <v>151</v>
      </c>
      <c r="L1151" s="40"/>
      <c r="M1151" s="1"/>
    </row>
    <row r="1152" spans="1:13" x14ac:dyDescent="0.2">
      <c r="B1152" s="268">
        <f>DATE($B$1108+3,7,1)</f>
        <v>42917</v>
      </c>
      <c r="C1152" s="97">
        <f>DATE($B$1108+4,6,30)</f>
        <v>43281</v>
      </c>
      <c r="D1152" s="103"/>
      <c r="E1152" s="104"/>
      <c r="F1152" s="113"/>
      <c r="G1152" s="315"/>
      <c r="H1152" s="24"/>
      <c r="K1152" s="308" t="s">
        <v>151</v>
      </c>
      <c r="L1152" s="40"/>
      <c r="M1152" s="1"/>
    </row>
    <row r="1153" spans="1:13" x14ac:dyDescent="0.2">
      <c r="B1153" s="268">
        <f>DATE($B$1108+4,7,1)</f>
        <v>43282</v>
      </c>
      <c r="C1153" s="97">
        <f>DATE($B$1108+5,6,30)</f>
        <v>43646</v>
      </c>
      <c r="D1153" s="97"/>
      <c r="E1153" s="104"/>
      <c r="F1153" s="113"/>
      <c r="G1153" s="315"/>
      <c r="H1153" s="24"/>
      <c r="K1153" s="308" t="s">
        <v>151</v>
      </c>
      <c r="L1153" s="40"/>
      <c r="M1153" s="1"/>
    </row>
    <row r="1154" spans="1:13" ht="15" x14ac:dyDescent="0.25">
      <c r="B1154" s="270"/>
      <c r="C1154" s="98" t="s">
        <v>451</v>
      </c>
      <c r="D1154" s="98"/>
      <c r="E1154" s="99">
        <f>SUM(E1148:E1153)</f>
        <v>365</v>
      </c>
      <c r="F1154" s="113">
        <f>SUM(F1148:F1153)</f>
        <v>0</v>
      </c>
      <c r="G1154" s="311">
        <f>SUM(G1148:G1153)</f>
        <v>0</v>
      </c>
      <c r="H1154" s="312">
        <f>IF(F1154&lt;&gt;$B$1107,G1154,F1154)</f>
        <v>0</v>
      </c>
      <c r="K1154" s="308" t="s">
        <v>151</v>
      </c>
      <c r="L1154" s="40"/>
      <c r="M1154" s="1"/>
    </row>
    <row r="1155" spans="1:13" ht="15" x14ac:dyDescent="0.25">
      <c r="B1155" s="236"/>
      <c r="C1155" s="24"/>
      <c r="D1155" s="24"/>
      <c r="E1155" s="24"/>
      <c r="F1155" s="24"/>
      <c r="G1155" s="229"/>
      <c r="H1155" s="24"/>
      <c r="K1155" s="308" t="s">
        <v>85</v>
      </c>
      <c r="L1155" s="40"/>
      <c r="M1155" s="1"/>
    </row>
    <row r="1156" spans="1:13" ht="30" x14ac:dyDescent="0.25">
      <c r="A1156" s="281" t="s">
        <v>456</v>
      </c>
      <c r="B1156" s="271" t="s">
        <v>457</v>
      </c>
      <c r="C1156" s="100" t="s">
        <v>448</v>
      </c>
      <c r="D1156" s="100" t="s">
        <v>458</v>
      </c>
      <c r="E1156" s="24"/>
      <c r="F1156" s="24"/>
      <c r="G1156" s="69"/>
      <c r="H1156" s="24"/>
      <c r="K1156" s="308" t="s">
        <v>151</v>
      </c>
      <c r="L1156" s="40"/>
      <c r="M1156" s="1"/>
    </row>
    <row r="1157" spans="1:13" ht="43.5" x14ac:dyDescent="0.2">
      <c r="A1157" s="282" t="s">
        <v>459</v>
      </c>
      <c r="B1157" s="272" t="str">
        <f>VLOOKUP('Reference module'!B1097,'Reference module'!$C$1096:$E$1102,3)</f>
        <v>2013-14</v>
      </c>
      <c r="C1157" s="101">
        <f t="shared" ref="C1157:C1159" si="8">IF($B$1109&gt;=5,E1112,IF($B$1109=4,E1121,IF($B$1109=3,E1130,IF($B$1109=2,E1139,IF($B$1109=1,E1148,"0")))))</f>
        <v>365</v>
      </c>
      <c r="D1157" s="110">
        <f t="shared" ref="D1157:D1162" si="9">IF($B$1109&gt;=5,G1112,IF($B$1109=4,G1121,IF($B$1109=3,G1130,IF($B$1109=2,G1139,IF($B$1109=1,G1148,"0")))))</f>
        <v>0</v>
      </c>
      <c r="E1157" s="24"/>
      <c r="F1157" s="24"/>
      <c r="G1157" s="69"/>
      <c r="H1157" s="24"/>
      <c r="K1157" s="308" t="s">
        <v>151</v>
      </c>
      <c r="L1157" s="40"/>
      <c r="M1157" s="1"/>
    </row>
    <row r="1158" spans="1:13" x14ac:dyDescent="0.2">
      <c r="B1158" s="272" t="str">
        <f>VLOOKUP('Reference module'!B1098,'Reference module'!$C$1096:$E$1102,3)</f>
        <v>2014-15</v>
      </c>
      <c r="C1158" s="101">
        <f t="shared" si="8"/>
        <v>365</v>
      </c>
      <c r="D1158" s="110">
        <f t="shared" si="9"/>
        <v>0</v>
      </c>
      <c r="E1158" s="24"/>
      <c r="F1158" s="24"/>
      <c r="G1158" s="69"/>
      <c r="H1158" s="24"/>
      <c r="K1158" s="308" t="s">
        <v>151</v>
      </c>
      <c r="L1158" s="40"/>
      <c r="M1158" s="1"/>
    </row>
    <row r="1159" spans="1:13" x14ac:dyDescent="0.2">
      <c r="B1159" s="272" t="str">
        <f>VLOOKUP('Reference module'!B1099,'Reference module'!$C$1096:$E$1102,3)</f>
        <v>2015-16</v>
      </c>
      <c r="C1159" s="101">
        <f t="shared" si="8"/>
        <v>366</v>
      </c>
      <c r="D1159" s="110">
        <f t="shared" si="9"/>
        <v>0</v>
      </c>
      <c r="E1159" s="24"/>
      <c r="F1159" s="24"/>
      <c r="G1159" s="69"/>
      <c r="H1159" s="24"/>
      <c r="K1159" s="308" t="s">
        <v>151</v>
      </c>
      <c r="L1159" s="40"/>
      <c r="M1159" s="1"/>
    </row>
    <row r="1160" spans="1:13" x14ac:dyDescent="0.2">
      <c r="B1160" s="272" t="str">
        <f>VLOOKUP('Reference module'!B1100,'Reference module'!$C$1096:$E$1102,3)</f>
        <v>2016-17</v>
      </c>
      <c r="C1160" s="101">
        <f t="shared" ref="C1160" si="10">IF($B$1109&gt;=5,E1115,IF($B$1109=4,E1124,IF($B$1109=3,E1133,IF($B$1109=2,E1142,IF($B$1109=1,E1151,"")))))</f>
        <v>365</v>
      </c>
      <c r="D1160" s="110">
        <f t="shared" si="9"/>
        <v>0</v>
      </c>
      <c r="E1160" s="24"/>
      <c r="F1160" s="24"/>
      <c r="G1160" s="69"/>
      <c r="H1160" s="24"/>
      <c r="K1160" s="308" t="s">
        <v>151</v>
      </c>
      <c r="L1160" s="40"/>
      <c r="M1160" s="1"/>
    </row>
    <row r="1161" spans="1:13" x14ac:dyDescent="0.2">
      <c r="B1161" s="272" t="str">
        <f>VLOOKUP('Reference module'!B1101,'Reference module'!$C$1096:$E$1102,3)</f>
        <v>2017-18</v>
      </c>
      <c r="C1161" s="101">
        <f>IF($B$1109&gt;=5,E1116,IF($B$1109=4,E1125,IF($B$1109=3,E1134,IF($B$1109=2,E1143,IF($B$1109=1,E1152,"0")))))</f>
        <v>365</v>
      </c>
      <c r="D1161" s="110">
        <f t="shared" si="9"/>
        <v>0</v>
      </c>
      <c r="E1161" s="24"/>
      <c r="F1161" s="24"/>
      <c r="G1161" s="69"/>
      <c r="H1161" s="24"/>
      <c r="K1161" s="308" t="s">
        <v>151</v>
      </c>
      <c r="L1161" s="40"/>
      <c r="M1161" s="1"/>
    </row>
    <row r="1162" spans="1:13" x14ac:dyDescent="0.2">
      <c r="B1162" s="272" t="str">
        <f>VLOOKUP('Reference module'!B1102,'Reference module'!$C$1096:$E$1102,3)</f>
        <v>2018-19</v>
      </c>
      <c r="C1162" s="101">
        <f>IF($B$1109&gt;=5,E1117,IF($B$1109=4,E1126,IF($B$1109=3,E1135,IF($B$1109=2,E1144,IF($B$1109=1,E1153,"0")))))</f>
        <v>0</v>
      </c>
      <c r="D1162" s="110">
        <f t="shared" si="9"/>
        <v>0</v>
      </c>
      <c r="E1162" s="24"/>
      <c r="F1162" s="24"/>
      <c r="G1162" s="69"/>
      <c r="H1162" s="24"/>
      <c r="K1162" s="308" t="s">
        <v>151</v>
      </c>
      <c r="L1162" s="40"/>
      <c r="M1162" s="1"/>
    </row>
    <row r="1163" spans="1:13" x14ac:dyDescent="0.2">
      <c r="B1163" s="236"/>
      <c r="C1163" s="101">
        <f t="shared" ref="C1163:D1163" si="11">SUM(C1157:C1162)</f>
        <v>1826</v>
      </c>
      <c r="D1163" s="110">
        <f t="shared" si="11"/>
        <v>0</v>
      </c>
      <c r="E1163" s="24"/>
      <c r="F1163" s="24"/>
      <c r="G1163" s="69"/>
      <c r="H1163" s="24"/>
      <c r="K1163" s="308" t="s">
        <v>151</v>
      </c>
      <c r="L1163" s="40"/>
      <c r="M1163" s="1"/>
    </row>
    <row r="1164" spans="1:13" x14ac:dyDescent="0.2">
      <c r="B1164" s="236"/>
      <c r="C1164" s="24"/>
      <c r="D1164" s="24"/>
      <c r="E1164" s="24"/>
      <c r="F1164" s="24"/>
      <c r="G1164" s="69"/>
      <c r="H1164" s="24"/>
      <c r="K1164" s="308" t="s">
        <v>85</v>
      </c>
      <c r="L1164" s="40"/>
      <c r="M1164" s="1"/>
    </row>
    <row r="1165" spans="1:13" ht="30" x14ac:dyDescent="0.25">
      <c r="A1165" s="281" t="s">
        <v>460</v>
      </c>
      <c r="B1165" s="271" t="s">
        <v>457</v>
      </c>
      <c r="C1165" s="100" t="s">
        <v>448</v>
      </c>
      <c r="D1165" s="100" t="s">
        <v>458</v>
      </c>
      <c r="E1165" s="24"/>
      <c r="F1165" s="24"/>
      <c r="G1165" s="69"/>
      <c r="H1165" s="24"/>
      <c r="K1165" s="308" t="s">
        <v>151</v>
      </c>
      <c r="L1165" s="40"/>
      <c r="M1165" s="1"/>
    </row>
    <row r="1166" spans="1:13" x14ac:dyDescent="0.2">
      <c r="B1166" s="272" t="str">
        <f>B1157</f>
        <v>2013-14</v>
      </c>
      <c r="C1166" s="101">
        <f t="shared" ref="C1166:C1171" si="12">IF(C1157&gt;0,C1157,"0")</f>
        <v>365</v>
      </c>
      <c r="D1166" s="111">
        <f>D1157</f>
        <v>0</v>
      </c>
      <c r="E1166" s="24"/>
      <c r="F1166" s="24"/>
      <c r="G1166" s="69"/>
      <c r="H1166" s="24"/>
      <c r="K1166" s="308" t="s">
        <v>151</v>
      </c>
      <c r="L1166" s="40"/>
      <c r="M1166" s="1"/>
    </row>
    <row r="1167" spans="1:13" x14ac:dyDescent="0.2">
      <c r="B1167" s="272" t="str">
        <f t="shared" ref="B1167:B1171" si="13">B1158</f>
        <v>2014-15</v>
      </c>
      <c r="C1167" s="101">
        <f t="shared" si="12"/>
        <v>365</v>
      </c>
      <c r="D1167" s="111">
        <f t="shared" ref="D1167:D1171" si="14">D1158</f>
        <v>0</v>
      </c>
      <c r="E1167" s="24"/>
      <c r="F1167" s="24"/>
      <c r="G1167" s="69"/>
      <c r="H1167" s="24"/>
      <c r="K1167" s="308" t="s">
        <v>151</v>
      </c>
      <c r="L1167" s="40"/>
      <c r="M1167" s="1"/>
    </row>
    <row r="1168" spans="1:13" x14ac:dyDescent="0.2">
      <c r="B1168" s="272" t="str">
        <f t="shared" si="13"/>
        <v>2015-16</v>
      </c>
      <c r="C1168" s="101">
        <f t="shared" si="12"/>
        <v>366</v>
      </c>
      <c r="D1168" s="111">
        <f t="shared" si="14"/>
        <v>0</v>
      </c>
      <c r="E1168" s="24"/>
      <c r="F1168" s="24"/>
      <c r="G1168" s="69"/>
      <c r="H1168" s="24"/>
      <c r="K1168" s="308" t="s">
        <v>151</v>
      </c>
      <c r="L1168" s="40"/>
      <c r="M1168" s="1"/>
    </row>
    <row r="1169" spans="1:13" x14ac:dyDescent="0.2">
      <c r="B1169" s="272" t="str">
        <f t="shared" si="13"/>
        <v>2016-17</v>
      </c>
      <c r="C1169" s="101">
        <f t="shared" si="12"/>
        <v>365</v>
      </c>
      <c r="D1169" s="111">
        <f t="shared" si="14"/>
        <v>0</v>
      </c>
      <c r="E1169" s="24"/>
      <c r="F1169" s="24"/>
      <c r="G1169" s="69"/>
      <c r="H1169" s="24"/>
      <c r="K1169" s="308" t="s">
        <v>151</v>
      </c>
      <c r="L1169" s="40"/>
      <c r="M1169" s="1"/>
    </row>
    <row r="1170" spans="1:13" x14ac:dyDescent="0.2">
      <c r="B1170" s="272" t="str">
        <f t="shared" si="13"/>
        <v>2017-18</v>
      </c>
      <c r="C1170" s="101">
        <f t="shared" si="12"/>
        <v>365</v>
      </c>
      <c r="D1170" s="111">
        <f t="shared" si="14"/>
        <v>0</v>
      </c>
      <c r="E1170" s="24"/>
      <c r="F1170" s="24"/>
      <c r="G1170" s="69"/>
      <c r="H1170" s="24"/>
      <c r="K1170" s="308" t="s">
        <v>151</v>
      </c>
      <c r="L1170" s="40"/>
      <c r="M1170" s="1"/>
    </row>
    <row r="1171" spans="1:13" x14ac:dyDescent="0.2">
      <c r="B1171" s="272" t="str">
        <f t="shared" si="13"/>
        <v>2018-19</v>
      </c>
      <c r="C1171" s="101" t="str">
        <f t="shared" si="12"/>
        <v>0</v>
      </c>
      <c r="D1171" s="111">
        <f t="shared" si="14"/>
        <v>0</v>
      </c>
      <c r="E1171" s="24"/>
      <c r="F1171" s="24"/>
      <c r="G1171" s="69"/>
      <c r="H1171" s="24"/>
      <c r="K1171" s="308" t="s">
        <v>151</v>
      </c>
      <c r="L1171" s="40"/>
      <c r="M1171" s="1"/>
    </row>
    <row r="1172" spans="1:13" ht="15" x14ac:dyDescent="0.25">
      <c r="B1172" s="236"/>
      <c r="C1172" s="102">
        <f>SUM(C1166:C1171)</f>
        <v>1826</v>
      </c>
      <c r="D1172" s="112" t="str">
        <f t="shared" ref="D1172" si="15">IF(D1163&gt;0,D1163,"")</f>
        <v/>
      </c>
      <c r="E1172" s="24"/>
      <c r="F1172" s="24"/>
      <c r="G1172" s="69"/>
      <c r="H1172" s="24"/>
      <c r="K1172" s="308" t="s">
        <v>151</v>
      </c>
      <c r="L1172" s="40"/>
      <c r="M1172" s="1"/>
    </row>
    <row r="1173" spans="1:13" ht="15" thickBot="1" x14ac:dyDescent="0.25">
      <c r="B1173" s="236"/>
      <c r="C1173" s="24"/>
      <c r="D1173" s="24"/>
      <c r="E1173" s="24"/>
      <c r="F1173" s="24"/>
      <c r="G1173" s="69"/>
      <c r="H1173" s="24"/>
      <c r="K1173" s="308" t="s">
        <v>85</v>
      </c>
      <c r="L1173" s="40"/>
      <c r="M1173" s="1"/>
    </row>
    <row r="1174" spans="1:13" ht="15.75" thickBot="1" x14ac:dyDescent="0.3">
      <c r="A1174" s="275" t="s">
        <v>461</v>
      </c>
      <c r="B1174" s="401" t="s">
        <v>462</v>
      </c>
      <c r="C1174" s="402"/>
      <c r="D1174" s="402"/>
      <c r="E1174" s="402"/>
      <c r="F1174" s="402"/>
      <c r="G1174" s="402"/>
      <c r="H1174" s="402"/>
      <c r="K1174" s="308" t="s">
        <v>151</v>
      </c>
      <c r="L1174" s="40"/>
      <c r="M1174" s="1"/>
    </row>
    <row r="1175" spans="1:13" ht="15" x14ac:dyDescent="0.25">
      <c r="A1175" s="226"/>
      <c r="B1175" s="260" t="s">
        <v>457</v>
      </c>
      <c r="C1175" s="70" t="s">
        <v>463</v>
      </c>
      <c r="D1175" s="71" t="s">
        <v>464</v>
      </c>
      <c r="E1175" s="24"/>
      <c r="F1175" s="24"/>
      <c r="G1175" s="69"/>
      <c r="H1175" s="24"/>
      <c r="K1175" s="308" t="s">
        <v>151</v>
      </c>
      <c r="L1175" s="40"/>
      <c r="M1175" s="94"/>
    </row>
    <row r="1176" spans="1:13" ht="15" x14ac:dyDescent="0.25">
      <c r="A1176" s="226"/>
      <c r="B1176" s="265" t="str">
        <f>IF($B$1077="• You haven't correctly completed Step 1 – Loan details or Step 2 – Borrowing expenses so we can't calculate any claim amounts. Check Information entry guidance for more information.","-",$B1166)</f>
        <v>-</v>
      </c>
      <c r="C1176" s="72" t="str">
        <f t="shared" ref="C1176:C1181" si="16">IFERROR(IF($B$1049&lt;=100,"0",VLOOKUP(B1176,$B$1166:$D$1171,2)),"")</f>
        <v>0</v>
      </c>
      <c r="D1176" s="108">
        <f>IFERROR(IF($B$1049&lt;=100,$B$1049,VLOOKUP(B1176,$B$1166:$D$1171,3)),"")</f>
        <v>0</v>
      </c>
      <c r="E1176" s="24"/>
      <c r="F1176" s="24"/>
      <c r="G1176" s="69"/>
      <c r="H1176" s="24"/>
      <c r="K1176" s="308" t="s">
        <v>151</v>
      </c>
      <c r="L1176" s="40"/>
      <c r="M1176" s="94"/>
    </row>
    <row r="1177" spans="1:13" ht="15" x14ac:dyDescent="0.25">
      <c r="A1177" s="226"/>
      <c r="B1177" s="265" t="str">
        <f t="shared" ref="B1177:B1181" si="17">IF($B$1077="• You haven't correctly completed Step 1 – Loan details or Step 2 – Borrowing expenses so we can't calculate any claim amounts. Check Information entry guidance for more information.","-",$B1167)</f>
        <v>-</v>
      </c>
      <c r="C1177" s="72" t="str">
        <f t="shared" si="16"/>
        <v>0</v>
      </c>
      <c r="D1177" s="108">
        <f>IFERROR(IF($B$1049&lt;=100,0,VLOOKUP(B1177,$B$1166:$D$1171,3)),"")</f>
        <v>0</v>
      </c>
      <c r="E1177" s="24"/>
      <c r="F1177" s="24"/>
      <c r="G1177" s="69"/>
      <c r="H1177" s="24"/>
      <c r="K1177" s="308" t="s">
        <v>151</v>
      </c>
      <c r="L1177" s="40"/>
      <c r="M1177" s="94"/>
    </row>
    <row r="1178" spans="1:13" ht="15" x14ac:dyDescent="0.25">
      <c r="A1178" s="226"/>
      <c r="B1178" s="265" t="str">
        <f t="shared" si="17"/>
        <v>-</v>
      </c>
      <c r="C1178" s="72" t="str">
        <f t="shared" si="16"/>
        <v>0</v>
      </c>
      <c r="D1178" s="108">
        <f>IFERROR(IF($B$1049&lt;=100,0,VLOOKUP(B1178,$B$1166:$D$1171,3)),"")</f>
        <v>0</v>
      </c>
      <c r="E1178" s="24"/>
      <c r="F1178" s="24"/>
      <c r="G1178" s="69"/>
      <c r="H1178" s="24"/>
      <c r="K1178" s="308" t="s">
        <v>151</v>
      </c>
      <c r="L1178" s="40"/>
      <c r="M1178" s="94"/>
    </row>
    <row r="1179" spans="1:13" ht="15" x14ac:dyDescent="0.25">
      <c r="A1179" s="226"/>
      <c r="B1179" s="265" t="str">
        <f t="shared" si="17"/>
        <v>-</v>
      </c>
      <c r="C1179" s="72" t="str">
        <f t="shared" si="16"/>
        <v>0</v>
      </c>
      <c r="D1179" s="108">
        <f>IFERROR(IF($B$1049&lt;=100,0,VLOOKUP(B1179,$B$1166:$D$1171,3)),"")</f>
        <v>0</v>
      </c>
      <c r="E1179" s="24"/>
      <c r="F1179" s="24"/>
      <c r="G1179" s="69"/>
      <c r="H1179" s="24"/>
      <c r="K1179" s="308" t="s">
        <v>151</v>
      </c>
      <c r="L1179" s="40"/>
      <c r="M1179" s="94"/>
    </row>
    <row r="1180" spans="1:13" ht="15" x14ac:dyDescent="0.25">
      <c r="A1180" s="226"/>
      <c r="B1180" s="265" t="str">
        <f t="shared" si="17"/>
        <v>-</v>
      </c>
      <c r="C1180" s="72" t="str">
        <f t="shared" si="16"/>
        <v>0</v>
      </c>
      <c r="D1180" s="108">
        <f>IFERROR(IF($B$1049&lt;=100,0,VLOOKUP(B1180,$B$1166:$D$1171,3)),"")</f>
        <v>0</v>
      </c>
      <c r="E1180" s="24"/>
      <c r="F1180" s="24"/>
      <c r="G1180" s="69"/>
      <c r="H1180" s="24"/>
      <c r="K1180" s="308" t="s">
        <v>151</v>
      </c>
      <c r="L1180" s="40"/>
      <c r="M1180" s="94"/>
    </row>
    <row r="1181" spans="1:13" ht="15" x14ac:dyDescent="0.25">
      <c r="A1181" s="226"/>
      <c r="B1181" s="265" t="str">
        <f t="shared" si="17"/>
        <v>-</v>
      </c>
      <c r="C1181" s="72" t="str">
        <f t="shared" si="16"/>
        <v>0</v>
      </c>
      <c r="D1181" s="108">
        <f>IFERROR(IF($B$1049&lt;=100,0,VLOOKUP(B1181,$B$1166:$D$1171,3)),"")</f>
        <v>0</v>
      </c>
      <c r="E1181" s="24"/>
      <c r="F1181" s="24"/>
      <c r="G1181" s="69"/>
      <c r="H1181" s="24"/>
      <c r="K1181" s="308" t="s">
        <v>151</v>
      </c>
      <c r="L1181" s="40"/>
      <c r="M1181" s="1"/>
    </row>
    <row r="1182" spans="1:13" ht="15" x14ac:dyDescent="0.25">
      <c r="A1182" s="226"/>
      <c r="B1182" s="238"/>
      <c r="C1182" s="233">
        <f>SUM(C1176:C1181)</f>
        <v>0</v>
      </c>
      <c r="D1182" s="109">
        <f>IFERROR(SUM(D1176:D1181),"")</f>
        <v>0</v>
      </c>
      <c r="E1182" s="24"/>
      <c r="F1182" s="24"/>
      <c r="G1182" s="69"/>
      <c r="H1182" s="24"/>
      <c r="K1182" s="308" t="s">
        <v>151</v>
      </c>
      <c r="L1182" s="40"/>
      <c r="M1182" s="1"/>
    </row>
    <row r="1183" spans="1:13" ht="15" x14ac:dyDescent="0.25">
      <c r="A1183" s="226"/>
      <c r="B1183" s="257"/>
      <c r="C1183" s="69"/>
      <c r="D1183" s="69"/>
      <c r="E1183" s="69"/>
      <c r="F1183" s="69"/>
      <c r="G1183" s="69"/>
      <c r="H1183" s="24"/>
      <c r="K1183" s="308" t="s">
        <v>151</v>
      </c>
      <c r="L1183" s="40"/>
      <c r="M1183" s="1"/>
    </row>
    <row r="1184" spans="1:13" ht="30" customHeight="1" x14ac:dyDescent="0.25">
      <c r="A1184" s="279" t="s">
        <v>121</v>
      </c>
      <c r="B1184" s="413" t="s">
        <v>465</v>
      </c>
      <c r="C1184" s="414"/>
      <c r="D1184" s="414"/>
      <c r="E1184" s="414"/>
      <c r="F1184" s="414"/>
      <c r="G1184" s="414"/>
      <c r="H1184" s="414"/>
      <c r="K1184" s="308" t="s">
        <v>151</v>
      </c>
      <c r="L1184" s="40"/>
      <c r="M1184" s="1"/>
    </row>
    <row r="1185" spans="1:21" ht="36.6" customHeight="1" x14ac:dyDescent="0.25">
      <c r="A1185" s="283"/>
      <c r="B1185" s="413" t="s">
        <v>466</v>
      </c>
      <c r="C1185" s="414"/>
      <c r="D1185" s="414"/>
      <c r="E1185" s="414"/>
      <c r="F1185" s="414"/>
      <c r="G1185" s="414"/>
      <c r="H1185" s="414"/>
      <c r="K1185" s="308" t="s">
        <v>151</v>
      </c>
      <c r="L1185" s="40"/>
      <c r="M1185" s="1"/>
    </row>
    <row r="1186" spans="1:21" ht="38.1" customHeight="1" x14ac:dyDescent="0.25">
      <c r="A1186" s="226"/>
      <c r="B1186" s="413" t="s">
        <v>467</v>
      </c>
      <c r="C1186" s="414"/>
      <c r="D1186" s="414"/>
      <c r="E1186" s="414"/>
      <c r="F1186" s="414"/>
      <c r="G1186" s="414"/>
      <c r="H1186" s="284"/>
      <c r="K1186" s="308" t="s">
        <v>151</v>
      </c>
      <c r="L1186" s="40"/>
      <c r="M1186" s="1"/>
    </row>
    <row r="1187" spans="1:21" ht="119.45" customHeight="1" x14ac:dyDescent="0.25">
      <c r="A1187" s="226"/>
      <c r="B1187" s="413" t="s">
        <v>468</v>
      </c>
      <c r="C1187" s="414"/>
      <c r="D1187" s="414"/>
      <c r="E1187" s="414"/>
      <c r="F1187" s="414"/>
      <c r="G1187" s="414"/>
      <c r="H1187" s="284"/>
      <c r="K1187" s="308" t="s">
        <v>151</v>
      </c>
      <c r="L1187" s="40"/>
      <c r="M1187" s="1"/>
    </row>
    <row r="1188" spans="1:21" ht="15.75" thickBot="1" x14ac:dyDescent="0.3">
      <c r="A1188" s="285"/>
      <c r="B1188" s="273"/>
      <c r="C1188" s="34"/>
      <c r="D1188" s="34"/>
      <c r="E1188" s="34"/>
      <c r="F1188" s="34"/>
      <c r="G1188" s="34"/>
      <c r="H1188" s="34"/>
      <c r="K1188" s="308" t="s">
        <v>85</v>
      </c>
      <c r="L1188" s="40"/>
      <c r="M1188" s="1"/>
    </row>
    <row r="1189" spans="1:21" ht="15.75" thickBot="1" x14ac:dyDescent="0.3">
      <c r="A1189" s="275" t="s">
        <v>469</v>
      </c>
      <c r="B1189" s="401" t="s">
        <v>470</v>
      </c>
      <c r="C1189" s="402"/>
      <c r="D1189" s="402"/>
      <c r="E1189" s="402"/>
      <c r="F1189" s="402"/>
      <c r="G1189" s="402"/>
      <c r="H1189" s="402"/>
      <c r="K1189" s="308" t="s">
        <v>85</v>
      </c>
      <c r="L1189" s="40"/>
      <c r="M1189" s="1"/>
    </row>
    <row r="1190" spans="1:21" ht="15" x14ac:dyDescent="0.25">
      <c r="A1190" s="229" t="s">
        <v>87</v>
      </c>
      <c r="B1190" s="236" t="s">
        <v>131</v>
      </c>
      <c r="C1190" s="24"/>
      <c r="D1190" s="24"/>
      <c r="E1190" s="24"/>
      <c r="F1190" s="24"/>
      <c r="G1190" s="24"/>
      <c r="H1190" s="24"/>
      <c r="K1190" s="308" t="s">
        <v>85</v>
      </c>
      <c r="L1190" s="40"/>
      <c r="M1190" s="1"/>
    </row>
    <row r="1191" spans="1:21" s="8" customFormat="1" ht="15" x14ac:dyDescent="0.25">
      <c r="A1191" s="276"/>
      <c r="B1191" s="237" t="str">
        <f>CONCATENATE($O$2&amp;": "&amp;VLOOKUP($B1190,$N$4:$U$27,2,0))</f>
        <v>Font: Arial</v>
      </c>
      <c r="C1191" s="19" t="str">
        <f>CONCATENATE($P$2&amp;": "&amp;VLOOKUP($B1190,$N$4:$U$27,3,0))</f>
        <v>T-face: Bold</v>
      </c>
      <c r="D1191" s="19" t="str">
        <f>CONCATENATE($Q$2&amp;": "&amp;VLOOKUP($B1190,$N$4:$U$27,4,0))</f>
        <v>Font size: 16</v>
      </c>
      <c r="E1191" s="19" t="str">
        <f>CONCATENATE($R$2&amp;": "&amp;VLOOKUP($B1190,$N$4:$U$27,5,0))</f>
        <v>Row height: 40</v>
      </c>
      <c r="F1191" s="19" t="str">
        <f>CONCATENATE($S$2&amp;": "&amp;VLOOKUP($B1190,$N$4:$U$27,6,0))</f>
        <v>Text col: Blue</v>
      </c>
      <c r="G1191" s="19" t="str">
        <f>CONCATENATE($T$2&amp;": "&amp;VLOOKUP($B1190,$N$4:$U$27,7,0))</f>
        <v>BG col: White</v>
      </c>
      <c r="H1191" s="19" t="str">
        <f>CONCATENATE($U$2&amp;": "&amp;VLOOKUP($B1190,$N$4:$U$27,8,0))</f>
        <v>Just: Left</v>
      </c>
      <c r="I1191" s="37"/>
      <c r="J1191" s="2"/>
      <c r="K1191" s="308" t="s">
        <v>85</v>
      </c>
      <c r="L1191" s="40"/>
      <c r="M1191" s="1"/>
      <c r="N1191" s="2"/>
      <c r="O1191" s="2"/>
      <c r="P1191" s="2"/>
      <c r="Q1191" s="2"/>
      <c r="R1191" s="2"/>
      <c r="S1191" s="2"/>
      <c r="T1191" s="2"/>
      <c r="U1191" s="2"/>
    </row>
    <row r="1192" spans="1:21" ht="15" x14ac:dyDescent="0.25">
      <c r="A1192" s="229" t="s">
        <v>99</v>
      </c>
      <c r="B1192" s="236" t="s">
        <v>471</v>
      </c>
      <c r="C1192" s="24"/>
      <c r="D1192" s="24"/>
      <c r="E1192" s="24"/>
      <c r="F1192" s="24"/>
      <c r="G1192" s="24"/>
      <c r="H1192" s="24"/>
      <c r="J1192" s="8"/>
      <c r="K1192" s="308" t="s">
        <v>85</v>
      </c>
      <c r="L1192" s="40"/>
      <c r="M1192" s="1"/>
    </row>
    <row r="1193" spans="1:21" ht="15" x14ac:dyDescent="0.25">
      <c r="A1193" s="229" t="s">
        <v>102</v>
      </c>
      <c r="B1193" s="409" t="s">
        <v>472</v>
      </c>
      <c r="C1193" s="410"/>
      <c r="D1193" s="410"/>
      <c r="E1193" s="410"/>
      <c r="F1193" s="410"/>
      <c r="G1193" s="410"/>
      <c r="H1193" s="24"/>
      <c r="K1193" s="308" t="s">
        <v>151</v>
      </c>
      <c r="L1193" s="40"/>
      <c r="M1193" s="1"/>
    </row>
    <row r="1194" spans="1:21" ht="15" x14ac:dyDescent="0.25">
      <c r="A1194" s="277" t="s">
        <v>104</v>
      </c>
      <c r="B1194" s="236" t="s">
        <v>242</v>
      </c>
      <c r="C1194" s="24"/>
      <c r="D1194" s="24"/>
      <c r="E1194" s="24"/>
      <c r="F1194" s="24"/>
      <c r="G1194" s="24"/>
      <c r="H1194" s="24"/>
      <c r="K1194" s="308" t="s">
        <v>85</v>
      </c>
      <c r="L1194" s="40"/>
      <c r="M1194" s="1"/>
    </row>
    <row r="1195" spans="1:21" ht="15" x14ac:dyDescent="0.25">
      <c r="A1195" s="277" t="s">
        <v>87</v>
      </c>
      <c r="B1195" s="403" t="s">
        <v>155</v>
      </c>
      <c r="C1195" s="404"/>
      <c r="D1195" s="404"/>
      <c r="E1195" s="404"/>
      <c r="F1195" s="404"/>
      <c r="G1195" s="404"/>
      <c r="H1195" s="24"/>
      <c r="K1195" s="308" t="s">
        <v>85</v>
      </c>
      <c r="L1195" s="40"/>
      <c r="M1195" s="1"/>
      <c r="T1195"/>
      <c r="U1195"/>
    </row>
    <row r="1196" spans="1:21" ht="15" x14ac:dyDescent="0.25">
      <c r="A1196" s="277" t="s">
        <v>110</v>
      </c>
      <c r="B1196" s="236" t="s">
        <v>85</v>
      </c>
      <c r="C1196" s="24"/>
      <c r="D1196" s="24"/>
      <c r="E1196" s="24"/>
      <c r="F1196" s="24"/>
      <c r="G1196" s="24"/>
      <c r="H1196" s="24"/>
      <c r="K1196" s="308" t="s">
        <v>85</v>
      </c>
      <c r="L1196" s="40"/>
      <c r="M1196" s="1"/>
      <c r="N1196" s="23"/>
      <c r="O1196" s="23"/>
      <c r="P1196" s="23"/>
      <c r="Q1196" s="23"/>
      <c r="R1196" s="23"/>
      <c r="S1196" s="23"/>
    </row>
    <row r="1197" spans="1:21" ht="15" x14ac:dyDescent="0.25">
      <c r="A1197" s="277" t="s">
        <v>138</v>
      </c>
      <c r="B1197" s="236" t="s">
        <v>85</v>
      </c>
      <c r="C1197" s="24"/>
      <c r="D1197" s="24"/>
      <c r="E1197" s="24"/>
      <c r="F1197" s="24"/>
      <c r="G1197" s="24"/>
      <c r="H1197" s="24"/>
      <c r="K1197" s="308" t="s">
        <v>85</v>
      </c>
      <c r="L1197" s="40"/>
      <c r="M1197" s="1"/>
    </row>
    <row r="1198" spans="1:21" ht="15" x14ac:dyDescent="0.25">
      <c r="A1198" s="277" t="s">
        <v>140</v>
      </c>
      <c r="B1198" s="236" t="s">
        <v>85</v>
      </c>
      <c r="C1198" s="24"/>
      <c r="D1198" s="24"/>
      <c r="E1198" s="24"/>
      <c r="F1198" s="24"/>
      <c r="G1198" s="24"/>
      <c r="H1198" s="24"/>
      <c r="K1198" s="308" t="s">
        <v>85</v>
      </c>
      <c r="L1198" s="40"/>
      <c r="M1198" s="1"/>
    </row>
    <row r="1199" spans="1:21" ht="15" x14ac:dyDescent="0.25">
      <c r="A1199" s="277" t="s">
        <v>142</v>
      </c>
      <c r="B1199" s="236" t="s">
        <v>85</v>
      </c>
      <c r="C1199" s="24"/>
      <c r="D1199" s="24"/>
      <c r="E1199" s="24"/>
      <c r="F1199" s="24"/>
      <c r="G1199" s="24"/>
      <c r="H1199" s="24"/>
      <c r="K1199" s="308" t="s">
        <v>85</v>
      </c>
      <c r="L1199" s="40"/>
      <c r="M1199" s="1"/>
    </row>
    <row r="1200" spans="1:21" customFormat="1" ht="30" x14ac:dyDescent="0.25">
      <c r="A1200" s="278" t="s">
        <v>144</v>
      </c>
      <c r="B1200" s="236" t="str">
        <f>IF(B1190=$N$5,"Yes","No")</f>
        <v>No</v>
      </c>
      <c r="C1200" s="24"/>
      <c r="D1200" s="24"/>
      <c r="E1200" s="24"/>
      <c r="F1200" s="24"/>
      <c r="G1200" s="24"/>
      <c r="H1200" s="231"/>
      <c r="I1200" s="35"/>
      <c r="J1200" s="2"/>
      <c r="K1200" s="308" t="s">
        <v>85</v>
      </c>
      <c r="L1200" s="40"/>
      <c r="M1200" s="1"/>
      <c r="N1200" s="2"/>
      <c r="O1200" s="2"/>
      <c r="P1200" s="2"/>
      <c r="Q1200" s="2"/>
      <c r="R1200" s="2"/>
      <c r="S1200" s="2"/>
      <c r="T1200" s="8"/>
      <c r="U1200" s="8"/>
    </row>
    <row r="1201" spans="1:21" ht="15" x14ac:dyDescent="0.25">
      <c r="A1201" s="229" t="s">
        <v>121</v>
      </c>
      <c r="B1201" s="403" t="s">
        <v>169</v>
      </c>
      <c r="C1201" s="404"/>
      <c r="D1201" s="404"/>
      <c r="E1201" s="404"/>
      <c r="F1201" s="404"/>
      <c r="G1201" s="404"/>
      <c r="H1201" s="24"/>
      <c r="J1201" s="22"/>
      <c r="K1201" s="308" t="s">
        <v>85</v>
      </c>
      <c r="L1201" s="40"/>
      <c r="M1201" s="1"/>
      <c r="N1201" s="8"/>
      <c r="O1201" s="8"/>
      <c r="P1201" s="8"/>
      <c r="Q1201" s="8"/>
      <c r="R1201" s="8"/>
      <c r="S1201" s="8"/>
    </row>
    <row r="1202" spans="1:21" ht="15" thickBot="1" x14ac:dyDescent="0.25">
      <c r="A1202" s="24"/>
      <c r="B1202" s="236"/>
      <c r="C1202" s="24"/>
      <c r="D1202" s="24"/>
      <c r="E1202" s="24"/>
      <c r="F1202" s="24"/>
      <c r="G1202" s="24"/>
      <c r="H1202" s="24"/>
      <c r="K1202" s="308" t="s">
        <v>85</v>
      </c>
      <c r="L1202" s="40"/>
      <c r="M1202" s="1"/>
    </row>
    <row r="1203" spans="1:21" ht="15.75" thickBot="1" x14ac:dyDescent="0.3">
      <c r="A1203" s="275" t="s">
        <v>473</v>
      </c>
      <c r="B1203" s="401" t="s">
        <v>474</v>
      </c>
      <c r="C1203" s="402"/>
      <c r="D1203" s="402"/>
      <c r="E1203" s="402"/>
      <c r="F1203" s="402"/>
      <c r="G1203" s="402"/>
      <c r="H1203" s="402"/>
      <c r="K1203" s="308" t="s">
        <v>85</v>
      </c>
      <c r="L1203" s="40"/>
      <c r="M1203" s="1"/>
    </row>
    <row r="1204" spans="1:21" ht="15" x14ac:dyDescent="0.25">
      <c r="A1204" s="229" t="s">
        <v>87</v>
      </c>
      <c r="B1204" s="236" t="s">
        <v>130</v>
      </c>
      <c r="C1204" s="24"/>
      <c r="D1204" s="24"/>
      <c r="E1204" s="24"/>
      <c r="F1204" s="24"/>
      <c r="G1204" s="24"/>
      <c r="H1204" s="24"/>
      <c r="K1204" s="308" t="s">
        <v>85</v>
      </c>
      <c r="L1204" s="40"/>
      <c r="M1204" s="1"/>
    </row>
    <row r="1205" spans="1:21" s="8" customFormat="1" ht="29.25" x14ac:dyDescent="0.25">
      <c r="A1205" s="276"/>
      <c r="B1205" s="237" t="str">
        <f>CONCATENATE($O$2&amp;": "&amp;VLOOKUP($B1204,$N$4:$U$27,2,0))</f>
        <v>Font: Arial</v>
      </c>
      <c r="C1205" s="19" t="str">
        <f>CONCATENATE($P$2&amp;": "&amp;VLOOKUP($B1204,$N$4:$U$27,3,0))</f>
        <v>T-face: Normal</v>
      </c>
      <c r="D1205" s="19" t="str">
        <f>CONCATENATE($Q$2&amp;": "&amp;VLOOKUP($B1204,$N$4:$U$27,4,0))</f>
        <v>Font size: 11</v>
      </c>
      <c r="E1205" s="19" t="str">
        <f>CONCATENATE($R$2&amp;": "&amp;VLOOKUP($B1204,$N$4:$U$27,5,0))</f>
        <v>Row height: Dependant</v>
      </c>
      <c r="F1205" s="19" t="str">
        <f>CONCATENATE($S$2&amp;": "&amp;VLOOKUP($B1204,$N$4:$U$27,6,0))</f>
        <v>Text col: Black</v>
      </c>
      <c r="G1205" s="19" t="str">
        <f>CONCATENATE($T$2&amp;": "&amp;VLOOKUP($B1204,$N$4:$U$27,7,0))</f>
        <v>BG col: White</v>
      </c>
      <c r="H1205" s="19" t="str">
        <f>CONCATENATE($U$2&amp;": "&amp;VLOOKUP($B1204,$N$4:$U$27,8,0))</f>
        <v>Just: Left</v>
      </c>
      <c r="I1205" s="37"/>
      <c r="J1205" s="2"/>
      <c r="K1205" s="308" t="s">
        <v>85</v>
      </c>
      <c r="L1205" s="40"/>
      <c r="M1205" s="1"/>
      <c r="N1205" s="2"/>
      <c r="O1205" s="2"/>
      <c r="P1205" s="2"/>
      <c r="Q1205" s="2"/>
      <c r="R1205" s="2"/>
      <c r="S1205" s="2"/>
      <c r="T1205" s="2"/>
      <c r="U1205" s="2"/>
    </row>
    <row r="1206" spans="1:21" ht="15" x14ac:dyDescent="0.25">
      <c r="A1206" s="229" t="s">
        <v>99</v>
      </c>
      <c r="B1206" s="236" t="s">
        <v>471</v>
      </c>
      <c r="C1206" s="24"/>
      <c r="D1206" s="24"/>
      <c r="E1206" s="24"/>
      <c r="F1206" s="24"/>
      <c r="G1206" s="24"/>
      <c r="H1206" s="24"/>
      <c r="J1206" s="8"/>
      <c r="K1206" s="308" t="s">
        <v>85</v>
      </c>
      <c r="L1206" s="40"/>
      <c r="M1206" s="1"/>
    </row>
    <row r="1207" spans="1:21" ht="112.5" customHeight="1" x14ac:dyDescent="0.25">
      <c r="A1207" s="229" t="s">
        <v>102</v>
      </c>
      <c r="B1207" s="409" t="s">
        <v>475</v>
      </c>
      <c r="C1207" s="410"/>
      <c r="D1207" s="410"/>
      <c r="E1207" s="410"/>
      <c r="F1207" s="410"/>
      <c r="G1207" s="410"/>
      <c r="H1207" s="24"/>
      <c r="K1207" s="308" t="s">
        <v>151</v>
      </c>
      <c r="L1207" s="40"/>
      <c r="M1207" s="1"/>
    </row>
    <row r="1208" spans="1:21" ht="15" x14ac:dyDescent="0.25">
      <c r="A1208" s="277" t="s">
        <v>104</v>
      </c>
      <c r="B1208" s="236" t="s">
        <v>242</v>
      </c>
      <c r="C1208" s="24"/>
      <c r="D1208" s="24"/>
      <c r="E1208" s="24"/>
      <c r="F1208" s="24"/>
      <c r="G1208" s="24"/>
      <c r="H1208" s="24"/>
      <c r="K1208" s="308" t="s">
        <v>85</v>
      </c>
      <c r="L1208" s="40"/>
      <c r="M1208" s="1"/>
    </row>
    <row r="1209" spans="1:21" ht="15" x14ac:dyDescent="0.25">
      <c r="A1209" s="277" t="s">
        <v>87</v>
      </c>
      <c r="B1209" s="403" t="s">
        <v>155</v>
      </c>
      <c r="C1209" s="404"/>
      <c r="D1209" s="404"/>
      <c r="E1209" s="404"/>
      <c r="F1209" s="404"/>
      <c r="G1209" s="404"/>
      <c r="H1209" s="24"/>
      <c r="K1209" s="308" t="s">
        <v>85</v>
      </c>
      <c r="L1209" s="40"/>
      <c r="M1209" s="1"/>
      <c r="T1209"/>
      <c r="U1209"/>
    </row>
    <row r="1210" spans="1:21" ht="15" x14ac:dyDescent="0.25">
      <c r="A1210" s="277" t="s">
        <v>110</v>
      </c>
      <c r="B1210" s="236" t="s">
        <v>85</v>
      </c>
      <c r="C1210" s="24"/>
      <c r="D1210" s="24"/>
      <c r="E1210" s="24"/>
      <c r="F1210" s="24"/>
      <c r="G1210" s="24"/>
      <c r="H1210" s="24"/>
      <c r="K1210" s="308" t="s">
        <v>85</v>
      </c>
      <c r="L1210" s="40"/>
      <c r="M1210" s="1"/>
      <c r="N1210" s="23"/>
      <c r="O1210" s="23"/>
      <c r="P1210" s="23"/>
      <c r="Q1210" s="23"/>
      <c r="R1210" s="23"/>
      <c r="S1210" s="23"/>
    </row>
    <row r="1211" spans="1:21" ht="15" x14ac:dyDescent="0.25">
      <c r="A1211" s="277" t="s">
        <v>138</v>
      </c>
      <c r="B1211" s="236" t="s">
        <v>85</v>
      </c>
      <c r="C1211" s="24"/>
      <c r="D1211" s="24"/>
      <c r="E1211" s="24"/>
      <c r="F1211" s="24"/>
      <c r="G1211" s="24"/>
      <c r="H1211" s="24"/>
      <c r="K1211" s="308" t="s">
        <v>85</v>
      </c>
      <c r="L1211" s="40"/>
      <c r="M1211" s="1"/>
    </row>
    <row r="1212" spans="1:21" ht="15" x14ac:dyDescent="0.25">
      <c r="A1212" s="277" t="s">
        <v>140</v>
      </c>
      <c r="B1212" s="236" t="s">
        <v>85</v>
      </c>
      <c r="C1212" s="24"/>
      <c r="D1212" s="24"/>
      <c r="E1212" s="24"/>
      <c r="F1212" s="24"/>
      <c r="G1212" s="24"/>
      <c r="H1212" s="24"/>
      <c r="K1212" s="308" t="s">
        <v>85</v>
      </c>
      <c r="L1212" s="40"/>
      <c r="M1212" s="1"/>
    </row>
    <row r="1213" spans="1:21" ht="15" x14ac:dyDescent="0.25">
      <c r="A1213" s="277" t="s">
        <v>142</v>
      </c>
      <c r="B1213" s="236" t="s">
        <v>85</v>
      </c>
      <c r="C1213" s="24"/>
      <c r="D1213" s="24"/>
      <c r="E1213" s="24"/>
      <c r="F1213" s="24"/>
      <c r="G1213" s="24"/>
      <c r="H1213" s="24"/>
      <c r="K1213" s="308" t="s">
        <v>85</v>
      </c>
      <c r="L1213" s="40"/>
      <c r="M1213" s="1"/>
    </row>
    <row r="1214" spans="1:21" customFormat="1" ht="30" x14ac:dyDescent="0.25">
      <c r="A1214" s="278" t="s">
        <v>144</v>
      </c>
      <c r="B1214" s="236" t="str">
        <f>IF(B1204=$N$5,"Yes","No")</f>
        <v>No</v>
      </c>
      <c r="C1214" s="24"/>
      <c r="D1214" s="24"/>
      <c r="E1214" s="24"/>
      <c r="F1214" s="24"/>
      <c r="G1214" s="24"/>
      <c r="H1214" s="231"/>
      <c r="I1214" s="35"/>
      <c r="J1214" s="2"/>
      <c r="K1214" s="308" t="s">
        <v>85</v>
      </c>
      <c r="L1214" s="40"/>
      <c r="M1214" s="1"/>
      <c r="N1214" s="2"/>
      <c r="O1214" s="2"/>
      <c r="P1214" s="2"/>
      <c r="Q1214" s="2"/>
      <c r="R1214" s="2"/>
      <c r="S1214" s="2"/>
      <c r="T1214" s="8"/>
      <c r="U1214" s="8"/>
    </row>
    <row r="1215" spans="1:21" ht="15" x14ac:dyDescent="0.25">
      <c r="A1215" s="229" t="s">
        <v>121</v>
      </c>
      <c r="B1215" s="403" t="s">
        <v>169</v>
      </c>
      <c r="C1215" s="404"/>
      <c r="D1215" s="404"/>
      <c r="E1215" s="404"/>
      <c r="F1215" s="404"/>
      <c r="G1215" s="404"/>
      <c r="H1215" s="24"/>
      <c r="J1215" s="22"/>
      <c r="K1215" s="308" t="s">
        <v>85</v>
      </c>
      <c r="L1215" s="40"/>
      <c r="M1215" s="1"/>
      <c r="N1215" s="8"/>
      <c r="O1215" s="8"/>
      <c r="P1215" s="8"/>
      <c r="Q1215" s="8"/>
      <c r="R1215" s="8"/>
      <c r="S1215" s="8"/>
    </row>
    <row r="1216" spans="1:21" ht="15" thickBot="1" x14ac:dyDescent="0.25">
      <c r="A1216" s="24"/>
      <c r="B1216" s="236"/>
      <c r="C1216" s="24"/>
      <c r="D1216" s="24"/>
      <c r="E1216" s="24"/>
      <c r="F1216" s="24"/>
      <c r="G1216" s="24"/>
      <c r="H1216" s="24"/>
      <c r="K1216" s="308" t="s">
        <v>85</v>
      </c>
      <c r="L1216" s="40"/>
      <c r="M1216" s="1"/>
    </row>
    <row r="1217" spans="1:21" ht="15.75" thickBot="1" x14ac:dyDescent="0.3">
      <c r="A1217" s="275" t="s">
        <v>476</v>
      </c>
      <c r="B1217" s="401" t="s">
        <v>477</v>
      </c>
      <c r="C1217" s="402"/>
      <c r="D1217" s="402"/>
      <c r="E1217" s="402"/>
      <c r="F1217" s="402"/>
      <c r="G1217" s="402"/>
      <c r="H1217" s="402"/>
      <c r="K1217" s="308" t="s">
        <v>85</v>
      </c>
      <c r="L1217" s="40"/>
      <c r="M1217" s="1"/>
    </row>
    <row r="1218" spans="1:21" ht="15" x14ac:dyDescent="0.25">
      <c r="A1218" s="229" t="s">
        <v>87</v>
      </c>
      <c r="B1218" s="236" t="s">
        <v>130</v>
      </c>
      <c r="C1218" s="24"/>
      <c r="D1218" s="24"/>
      <c r="E1218" s="24"/>
      <c r="F1218" s="24"/>
      <c r="G1218" s="24"/>
      <c r="H1218" s="24"/>
      <c r="K1218" s="308" t="s">
        <v>85</v>
      </c>
      <c r="L1218" s="40"/>
      <c r="M1218" s="1"/>
    </row>
    <row r="1219" spans="1:21" s="8" customFormat="1" ht="29.25" x14ac:dyDescent="0.25">
      <c r="A1219" s="276"/>
      <c r="B1219" s="237" t="str">
        <f>CONCATENATE($O$2&amp;": "&amp;VLOOKUP($B1218,$N$4:$U$27,2,0))</f>
        <v>Font: Arial</v>
      </c>
      <c r="C1219" s="19" t="str">
        <f>CONCATENATE($P$2&amp;": "&amp;VLOOKUP($B1218,$N$4:$U$27,3,0))</f>
        <v>T-face: Normal</v>
      </c>
      <c r="D1219" s="19" t="str">
        <f>CONCATENATE($Q$2&amp;": "&amp;VLOOKUP($B1218,$N$4:$U$27,4,0))</f>
        <v>Font size: 11</v>
      </c>
      <c r="E1219" s="19" t="str">
        <f>CONCATENATE($R$2&amp;": "&amp;VLOOKUP($B1218,$N$4:$U$27,5,0))</f>
        <v>Row height: Dependant</v>
      </c>
      <c r="F1219" s="19" t="str">
        <f>CONCATENATE($S$2&amp;": "&amp;VLOOKUP($B1218,$N$4:$U$27,6,0))</f>
        <v>Text col: Black</v>
      </c>
      <c r="G1219" s="19" t="str">
        <f>CONCATENATE($T$2&amp;": "&amp;VLOOKUP($B1218,$N$4:$U$27,7,0))</f>
        <v>BG col: White</v>
      </c>
      <c r="H1219" s="19" t="str">
        <f>CONCATENATE($U$2&amp;": "&amp;VLOOKUP($B1218,$N$4:$U$27,8,0))</f>
        <v>Just: Left</v>
      </c>
      <c r="I1219" s="37"/>
      <c r="J1219" s="2"/>
      <c r="K1219" s="308" t="s">
        <v>85</v>
      </c>
      <c r="L1219" s="40"/>
      <c r="M1219" s="1"/>
      <c r="N1219" s="2"/>
      <c r="O1219" s="2"/>
      <c r="P1219" s="2"/>
      <c r="Q1219" s="2"/>
      <c r="R1219" s="2"/>
      <c r="S1219" s="2"/>
      <c r="T1219" s="2"/>
      <c r="U1219" s="2"/>
    </row>
    <row r="1220" spans="1:21" ht="15" x14ac:dyDescent="0.25">
      <c r="A1220" s="229" t="s">
        <v>99</v>
      </c>
      <c r="B1220" s="236" t="s">
        <v>413</v>
      </c>
      <c r="C1220" s="24"/>
      <c r="D1220" s="24"/>
      <c r="E1220" s="24"/>
      <c r="F1220" s="24"/>
      <c r="G1220" s="24"/>
      <c r="H1220" s="24"/>
      <c r="J1220" s="8"/>
      <c r="K1220" s="308" t="s">
        <v>85</v>
      </c>
      <c r="L1220" s="40"/>
      <c r="M1220" s="1"/>
    </row>
    <row r="1221" spans="1:21" ht="14.1" customHeight="1" x14ac:dyDescent="0.25">
      <c r="A1221" s="229" t="s">
        <v>102</v>
      </c>
      <c r="B1221" s="355" t="str">
        <f ca="1">HYPERLINK(B1251,"To learn more, see 'Apportionment of rental expenses'.")</f>
        <v>To learn more, see 'Apportionment of rental expenses'.</v>
      </c>
      <c r="C1221" s="356"/>
      <c r="D1221" s="356"/>
      <c r="E1221" s="356"/>
      <c r="F1221" s="356"/>
      <c r="G1221" s="356"/>
      <c r="H1221" s="24"/>
      <c r="K1221" s="308" t="s">
        <v>151</v>
      </c>
      <c r="L1221" s="40"/>
      <c r="M1221" s="1"/>
    </row>
    <row r="1222" spans="1:21" ht="15" x14ac:dyDescent="0.25">
      <c r="A1222" s="277" t="s">
        <v>104</v>
      </c>
      <c r="B1222" s="236" t="s">
        <v>242</v>
      </c>
      <c r="C1222" s="24"/>
      <c r="D1222" s="24"/>
      <c r="E1222" s="24"/>
      <c r="F1222" s="24"/>
      <c r="G1222" s="24"/>
      <c r="H1222" s="24"/>
      <c r="K1222" s="308" t="s">
        <v>85</v>
      </c>
      <c r="L1222" s="40"/>
      <c r="M1222" s="1"/>
    </row>
    <row r="1223" spans="1:21" ht="15" x14ac:dyDescent="0.25">
      <c r="A1223" s="277" t="s">
        <v>87</v>
      </c>
      <c r="B1223" s="403" t="s">
        <v>155</v>
      </c>
      <c r="C1223" s="404"/>
      <c r="D1223" s="404"/>
      <c r="E1223" s="404"/>
      <c r="F1223" s="404"/>
      <c r="G1223" s="404"/>
      <c r="H1223" s="24"/>
      <c r="K1223" s="308" t="s">
        <v>85</v>
      </c>
      <c r="L1223" s="40"/>
      <c r="M1223" s="1"/>
      <c r="T1223"/>
      <c r="U1223"/>
    </row>
    <row r="1224" spans="1:21" ht="15" x14ac:dyDescent="0.25">
      <c r="A1224" s="277" t="s">
        <v>110</v>
      </c>
      <c r="B1224" s="236" t="s">
        <v>85</v>
      </c>
      <c r="C1224" s="24"/>
      <c r="D1224" s="24"/>
      <c r="E1224" s="24"/>
      <c r="F1224" s="24"/>
      <c r="G1224" s="24"/>
      <c r="H1224" s="24"/>
      <c r="K1224" s="308" t="s">
        <v>85</v>
      </c>
      <c r="L1224" s="40"/>
      <c r="M1224" s="1"/>
      <c r="N1224" s="23"/>
      <c r="O1224" s="23"/>
      <c r="P1224" s="23"/>
      <c r="Q1224" s="23"/>
      <c r="R1224" s="23"/>
      <c r="S1224" s="23"/>
    </row>
    <row r="1225" spans="1:21" ht="15" x14ac:dyDescent="0.25">
      <c r="A1225" s="277" t="s">
        <v>138</v>
      </c>
      <c r="B1225" s="236" t="s">
        <v>85</v>
      </c>
      <c r="C1225" s="24"/>
      <c r="D1225" s="24"/>
      <c r="E1225" s="24"/>
      <c r="F1225" s="24"/>
      <c r="G1225" s="24"/>
      <c r="H1225" s="24"/>
      <c r="K1225" s="308" t="s">
        <v>85</v>
      </c>
      <c r="L1225" s="40"/>
      <c r="M1225" s="1"/>
    </row>
    <row r="1226" spans="1:21" ht="15" x14ac:dyDescent="0.25">
      <c r="A1226" s="277" t="s">
        <v>140</v>
      </c>
      <c r="B1226" s="236" t="s">
        <v>85</v>
      </c>
      <c r="C1226" s="24"/>
      <c r="D1226" s="24"/>
      <c r="E1226" s="24"/>
      <c r="F1226" s="24"/>
      <c r="G1226" s="24"/>
      <c r="H1226" s="24"/>
      <c r="K1226" s="308" t="s">
        <v>85</v>
      </c>
      <c r="L1226" s="40"/>
      <c r="M1226" s="1"/>
    </row>
    <row r="1227" spans="1:21" ht="15" x14ac:dyDescent="0.25">
      <c r="A1227" s="277" t="s">
        <v>142</v>
      </c>
      <c r="B1227" s="236" t="s">
        <v>85</v>
      </c>
      <c r="C1227" s="24"/>
      <c r="D1227" s="24"/>
      <c r="E1227" s="24"/>
      <c r="F1227" s="24"/>
      <c r="G1227" s="24"/>
      <c r="H1227" s="24"/>
      <c r="K1227" s="308" t="s">
        <v>85</v>
      </c>
      <c r="L1227" s="40"/>
      <c r="M1227" s="1"/>
    </row>
    <row r="1228" spans="1:21" customFormat="1" ht="30" x14ac:dyDescent="0.25">
      <c r="A1228" s="278" t="s">
        <v>144</v>
      </c>
      <c r="B1228" s="236" t="str">
        <f>IF(B1218=$N$5,"Yes","No")</f>
        <v>No</v>
      </c>
      <c r="C1228" s="24"/>
      <c r="D1228" s="24"/>
      <c r="E1228" s="24"/>
      <c r="F1228" s="24"/>
      <c r="G1228" s="24"/>
      <c r="H1228" s="231"/>
      <c r="I1228" s="35"/>
      <c r="J1228" s="2"/>
      <c r="K1228" s="308" t="s">
        <v>85</v>
      </c>
      <c r="L1228" s="40"/>
      <c r="M1228" s="1"/>
      <c r="N1228" s="2"/>
      <c r="O1228" s="2"/>
      <c r="P1228" s="2"/>
      <c r="Q1228" s="2"/>
      <c r="R1228" s="2"/>
      <c r="S1228" s="2"/>
      <c r="T1228" s="8"/>
      <c r="U1228" s="8"/>
    </row>
    <row r="1229" spans="1:21" ht="29.1" customHeight="1" x14ac:dyDescent="0.25">
      <c r="A1229" s="229" t="s">
        <v>121</v>
      </c>
      <c r="B1229" s="403" t="s">
        <v>478</v>
      </c>
      <c r="C1229" s="404"/>
      <c r="D1229" s="404"/>
      <c r="E1229" s="404"/>
      <c r="F1229" s="404"/>
      <c r="G1229" s="404"/>
      <c r="H1229" s="24"/>
      <c r="J1229" s="22"/>
      <c r="K1229" s="308" t="s">
        <v>85</v>
      </c>
      <c r="L1229" s="40"/>
      <c r="M1229" s="1"/>
      <c r="N1229" s="8"/>
      <c r="O1229" s="8"/>
      <c r="P1229" s="8"/>
      <c r="Q1229" s="8"/>
      <c r="R1229" s="8"/>
      <c r="S1229" s="8"/>
    </row>
    <row r="1230" spans="1:21" ht="15" thickBot="1" x14ac:dyDescent="0.25">
      <c r="A1230" s="24"/>
      <c r="B1230" s="236"/>
      <c r="C1230" s="24"/>
      <c r="D1230" s="24"/>
      <c r="E1230" s="24"/>
      <c r="F1230" s="24"/>
      <c r="G1230" s="24"/>
      <c r="H1230" s="24"/>
      <c r="K1230" s="308" t="s">
        <v>85</v>
      </c>
      <c r="L1230" s="40"/>
      <c r="M1230" s="1"/>
    </row>
    <row r="1231" spans="1:21" ht="15.75" thickBot="1" x14ac:dyDescent="0.3">
      <c r="A1231" s="275" t="s">
        <v>479</v>
      </c>
      <c r="B1231" s="401" t="s">
        <v>480</v>
      </c>
      <c r="C1231" s="402"/>
      <c r="D1231" s="402"/>
      <c r="E1231" s="402"/>
      <c r="F1231" s="402"/>
      <c r="G1231" s="402"/>
      <c r="H1231" s="402"/>
      <c r="K1231" s="308" t="s">
        <v>85</v>
      </c>
      <c r="L1231" s="40"/>
      <c r="M1231" s="1"/>
    </row>
    <row r="1232" spans="1:21" ht="15" x14ac:dyDescent="0.25">
      <c r="A1232" s="229" t="s">
        <v>87</v>
      </c>
      <c r="B1232" s="236" t="s">
        <v>130</v>
      </c>
      <c r="C1232" s="24"/>
      <c r="D1232" s="24"/>
      <c r="E1232" s="24"/>
      <c r="F1232" s="24"/>
      <c r="G1232" s="24"/>
      <c r="H1232" s="24"/>
      <c r="K1232" s="308" t="s">
        <v>85</v>
      </c>
      <c r="L1232" s="40"/>
      <c r="M1232" s="1"/>
    </row>
    <row r="1233" spans="1:21" s="8" customFormat="1" ht="29.25" x14ac:dyDescent="0.25">
      <c r="A1233" s="276"/>
      <c r="B1233" s="237" t="str">
        <f>CONCATENATE($O$2&amp;": "&amp;VLOOKUP($B1232,$N$4:$U$27,2,0))</f>
        <v>Font: Arial</v>
      </c>
      <c r="C1233" s="19" t="str">
        <f>CONCATENATE($P$2&amp;": "&amp;VLOOKUP($B1232,$N$4:$U$27,3,0))</f>
        <v>T-face: Normal</v>
      </c>
      <c r="D1233" s="19" t="str">
        <f>CONCATENATE($Q$2&amp;": "&amp;VLOOKUP($B1232,$N$4:$U$27,4,0))</f>
        <v>Font size: 11</v>
      </c>
      <c r="E1233" s="19" t="str">
        <f>CONCATENATE($R$2&amp;": "&amp;VLOOKUP($B1232,$N$4:$U$27,5,0))</f>
        <v>Row height: Dependant</v>
      </c>
      <c r="F1233" s="19" t="str">
        <f>CONCATENATE($S$2&amp;": "&amp;VLOOKUP($B1232,$N$4:$U$27,6,0))</f>
        <v>Text col: Black</v>
      </c>
      <c r="G1233" s="19" t="str">
        <f>CONCATENATE($T$2&amp;": "&amp;VLOOKUP($B1232,$N$4:$U$27,7,0))</f>
        <v>BG col: White</v>
      </c>
      <c r="H1233" s="19" t="str">
        <f>CONCATENATE($U$2&amp;": "&amp;VLOOKUP($B1232,$N$4:$U$27,8,0))</f>
        <v>Just: Left</v>
      </c>
      <c r="I1233" s="37"/>
      <c r="J1233" s="2"/>
      <c r="K1233" s="308" t="s">
        <v>85</v>
      </c>
      <c r="L1233" s="40"/>
      <c r="M1233" s="1"/>
      <c r="N1233" s="2"/>
      <c r="O1233" s="2"/>
      <c r="P1233" s="2"/>
      <c r="Q1233" s="2"/>
      <c r="R1233" s="2"/>
      <c r="S1233" s="2"/>
      <c r="T1233" s="2"/>
      <c r="U1233" s="2"/>
    </row>
    <row r="1234" spans="1:21" ht="15" x14ac:dyDescent="0.25">
      <c r="A1234" s="229" t="s">
        <v>99</v>
      </c>
      <c r="B1234" s="236" t="s">
        <v>413</v>
      </c>
      <c r="C1234" s="24"/>
      <c r="D1234" s="24"/>
      <c r="E1234" s="24"/>
      <c r="F1234" s="24"/>
      <c r="G1234" s="24"/>
      <c r="H1234" s="24"/>
      <c r="J1234" s="8"/>
      <c r="K1234" s="308" t="s">
        <v>85</v>
      </c>
      <c r="L1234" s="40"/>
      <c r="M1234" s="1"/>
    </row>
    <row r="1235" spans="1:21" ht="15" x14ac:dyDescent="0.25">
      <c r="A1235" s="229" t="s">
        <v>102</v>
      </c>
      <c r="B1235" s="409" t="s">
        <v>481</v>
      </c>
      <c r="C1235" s="410"/>
      <c r="D1235" s="410"/>
      <c r="E1235" s="410"/>
      <c r="F1235" s="410"/>
      <c r="G1235" s="410"/>
      <c r="H1235" s="24"/>
      <c r="K1235" s="308" t="s">
        <v>151</v>
      </c>
      <c r="L1235" s="40"/>
      <c r="M1235" s="1"/>
    </row>
    <row r="1236" spans="1:21" ht="15" x14ac:dyDescent="0.25">
      <c r="A1236" s="277" t="s">
        <v>104</v>
      </c>
      <c r="B1236" s="236" t="s">
        <v>242</v>
      </c>
      <c r="C1236" s="24"/>
      <c r="D1236" s="24"/>
      <c r="E1236" s="24"/>
      <c r="F1236" s="24"/>
      <c r="G1236" s="24"/>
      <c r="H1236" s="24"/>
      <c r="K1236" s="308" t="s">
        <v>85</v>
      </c>
      <c r="L1236" s="40"/>
      <c r="M1236" s="1"/>
    </row>
    <row r="1237" spans="1:21" ht="15" x14ac:dyDescent="0.25">
      <c r="A1237" s="277" t="s">
        <v>87</v>
      </c>
      <c r="B1237" s="403" t="s">
        <v>155</v>
      </c>
      <c r="C1237" s="404"/>
      <c r="D1237" s="404"/>
      <c r="E1237" s="404"/>
      <c r="F1237" s="404"/>
      <c r="G1237" s="404"/>
      <c r="H1237" s="24"/>
      <c r="K1237" s="308" t="s">
        <v>85</v>
      </c>
      <c r="L1237" s="40"/>
      <c r="M1237" s="1"/>
      <c r="T1237"/>
      <c r="U1237"/>
    </row>
    <row r="1238" spans="1:21" ht="15" x14ac:dyDescent="0.25">
      <c r="A1238" s="277" t="s">
        <v>110</v>
      </c>
      <c r="B1238" s="236" t="s">
        <v>85</v>
      </c>
      <c r="C1238" s="24"/>
      <c r="D1238" s="24"/>
      <c r="E1238" s="24"/>
      <c r="F1238" s="24"/>
      <c r="G1238" s="24"/>
      <c r="H1238" s="24"/>
      <c r="K1238" s="308" t="s">
        <v>85</v>
      </c>
      <c r="L1238" s="40"/>
      <c r="M1238" s="1"/>
      <c r="N1238" s="23"/>
      <c r="O1238" s="23"/>
      <c r="P1238" s="23"/>
      <c r="Q1238" s="23"/>
      <c r="R1238" s="23"/>
      <c r="S1238" s="23"/>
    </row>
    <row r="1239" spans="1:21" ht="15" x14ac:dyDescent="0.25">
      <c r="A1239" s="277" t="s">
        <v>138</v>
      </c>
      <c r="B1239" s="236" t="s">
        <v>85</v>
      </c>
      <c r="C1239" s="24"/>
      <c r="D1239" s="24"/>
      <c r="E1239" s="24"/>
      <c r="F1239" s="24"/>
      <c r="G1239" s="24"/>
      <c r="H1239" s="24"/>
      <c r="K1239" s="308" t="s">
        <v>85</v>
      </c>
      <c r="L1239" s="40"/>
      <c r="M1239" s="1"/>
    </row>
    <row r="1240" spans="1:21" ht="15" x14ac:dyDescent="0.25">
      <c r="A1240" s="277" t="s">
        <v>140</v>
      </c>
      <c r="B1240" s="236" t="s">
        <v>85</v>
      </c>
      <c r="C1240" s="24"/>
      <c r="D1240" s="24"/>
      <c r="E1240" s="24"/>
      <c r="F1240" s="24"/>
      <c r="G1240" s="24"/>
      <c r="H1240" s="24"/>
      <c r="K1240" s="308" t="s">
        <v>85</v>
      </c>
      <c r="L1240" s="40"/>
      <c r="M1240" s="1"/>
    </row>
    <row r="1241" spans="1:21" ht="15" x14ac:dyDescent="0.25">
      <c r="A1241" s="277" t="s">
        <v>142</v>
      </c>
      <c r="B1241" s="236" t="s">
        <v>85</v>
      </c>
      <c r="C1241" s="24"/>
      <c r="D1241" s="24"/>
      <c r="E1241" s="24"/>
      <c r="F1241" s="24"/>
      <c r="G1241" s="24"/>
      <c r="H1241" s="24"/>
      <c r="K1241" s="308" t="s">
        <v>85</v>
      </c>
      <c r="L1241" s="40"/>
      <c r="M1241" s="1"/>
    </row>
    <row r="1242" spans="1:21" customFormat="1" ht="30" x14ac:dyDescent="0.25">
      <c r="A1242" s="278" t="s">
        <v>144</v>
      </c>
      <c r="B1242" s="236" t="str">
        <f>IF(B1232=$N$5,"Yes","No")</f>
        <v>No</v>
      </c>
      <c r="C1242" s="24"/>
      <c r="D1242" s="24"/>
      <c r="E1242" s="24"/>
      <c r="F1242" s="24"/>
      <c r="G1242" s="24"/>
      <c r="H1242" s="231"/>
      <c r="I1242" s="35"/>
      <c r="J1242" s="2"/>
      <c r="K1242" s="308" t="s">
        <v>85</v>
      </c>
      <c r="L1242" s="40"/>
      <c r="M1242" s="1"/>
      <c r="N1242" s="2"/>
      <c r="O1242" s="2"/>
      <c r="P1242" s="2"/>
      <c r="Q1242" s="2"/>
      <c r="R1242" s="2"/>
      <c r="S1242" s="2"/>
      <c r="T1242" s="8"/>
      <c r="U1242" s="8"/>
    </row>
    <row r="1243" spans="1:21" ht="15" x14ac:dyDescent="0.25">
      <c r="A1243" s="229" t="s">
        <v>121</v>
      </c>
      <c r="B1243" s="403" t="s">
        <v>169</v>
      </c>
      <c r="C1243" s="404"/>
      <c r="D1243" s="404"/>
      <c r="E1243" s="404"/>
      <c r="F1243" s="404"/>
      <c r="G1243" s="404"/>
      <c r="H1243" s="24"/>
      <c r="J1243" s="22"/>
      <c r="K1243" s="308" t="s">
        <v>85</v>
      </c>
      <c r="L1243" s="40"/>
      <c r="M1243" s="1"/>
      <c r="N1243" s="8"/>
      <c r="O1243" s="8"/>
      <c r="P1243" s="8"/>
      <c r="Q1243" s="8"/>
      <c r="R1243" s="8"/>
      <c r="S1243" s="8"/>
    </row>
    <row r="1244" spans="1:21" ht="15" thickBot="1" x14ac:dyDescent="0.25">
      <c r="A1244" s="234"/>
      <c r="B1244" s="274"/>
      <c r="C1244" s="234"/>
      <c r="D1244" s="234"/>
      <c r="E1244" s="234"/>
      <c r="F1244" s="234"/>
      <c r="G1244" s="234"/>
      <c r="H1244" s="234"/>
      <c r="K1244" s="308" t="s">
        <v>85</v>
      </c>
      <c r="L1244" s="40"/>
      <c r="M1244" s="1"/>
    </row>
    <row r="1245" spans="1:21" ht="15" x14ac:dyDescent="0.25">
      <c r="A1245" s="400" t="s">
        <v>482</v>
      </c>
      <c r="B1245" s="356"/>
      <c r="C1245" s="356"/>
      <c r="D1245" s="356"/>
      <c r="E1245" s="356"/>
      <c r="F1245" s="356"/>
      <c r="G1245" s="356"/>
      <c r="H1245" s="356"/>
      <c r="K1245" s="308" t="s">
        <v>85</v>
      </c>
      <c r="L1245" s="40"/>
      <c r="M1245" s="1"/>
    </row>
    <row r="1246" spans="1:21" ht="15.75" thickBot="1" x14ac:dyDescent="0.3">
      <c r="A1246" s="229" t="s">
        <v>483</v>
      </c>
      <c r="B1246" s="241" t="s">
        <v>200</v>
      </c>
      <c r="C1246" s="24"/>
      <c r="D1246" s="24"/>
      <c r="E1246" s="24"/>
      <c r="F1246" s="24"/>
      <c r="G1246" s="24"/>
      <c r="H1246" s="24"/>
      <c r="K1246" s="308" t="s">
        <v>85</v>
      </c>
    </row>
    <row r="1247" spans="1:21" x14ac:dyDescent="0.2">
      <c r="A1247" s="211"/>
      <c r="B1247" s="211"/>
      <c r="C1247" s="211"/>
      <c r="D1247" s="211"/>
      <c r="E1247" s="211"/>
      <c r="F1247" s="211"/>
      <c r="G1247" s="211"/>
      <c r="H1247" s="211"/>
      <c r="K1247" s="308" t="s">
        <v>85</v>
      </c>
      <c r="L1247" s="40"/>
      <c r="M1247" s="1"/>
    </row>
    <row r="1248" spans="1:21" x14ac:dyDescent="0.2">
      <c r="A1248" s="397" t="s">
        <v>484</v>
      </c>
      <c r="B1248" s="24" t="s">
        <v>485</v>
      </c>
      <c r="C1248" s="24"/>
      <c r="D1248" s="24"/>
      <c r="E1248" s="24"/>
      <c r="F1248" s="24"/>
      <c r="G1248" s="24"/>
      <c r="H1248" s="24"/>
      <c r="K1248" s="308" t="s">
        <v>85</v>
      </c>
      <c r="L1248" s="40"/>
      <c r="M1248" s="1"/>
    </row>
    <row r="1249" spans="1:13" x14ac:dyDescent="0.2">
      <c r="A1249" s="398"/>
      <c r="B1249" s="24">
        <f ca="1">IF(TODAY()&lt;D1249,YEAR(D1249)-1,YEAR(D1249))</f>
        <v>2025</v>
      </c>
      <c r="C1249" s="24"/>
      <c r="D1249" s="58">
        <v>46204</v>
      </c>
      <c r="E1249" s="58"/>
      <c r="F1249" s="24"/>
      <c r="G1249" s="24"/>
      <c r="H1249" s="24"/>
      <c r="K1249" s="308" t="s">
        <v>85</v>
      </c>
      <c r="L1249" s="41"/>
      <c r="M1249" s="38"/>
    </row>
    <row r="1250" spans="1:13" x14ac:dyDescent="0.2">
      <c r="A1250" s="398"/>
      <c r="B1250" s="24" t="s">
        <v>486</v>
      </c>
      <c r="C1250" s="24"/>
      <c r="D1250" s="24"/>
      <c r="E1250" s="24"/>
      <c r="F1250" s="24"/>
      <c r="G1250" s="24"/>
      <c r="H1250" s="24"/>
      <c r="K1250" s="308" t="s">
        <v>85</v>
      </c>
    </row>
    <row r="1251" spans="1:13" ht="15" thickBot="1" x14ac:dyDescent="0.25">
      <c r="A1251" s="399"/>
      <c r="B1251" s="347" t="str">
        <f ca="1">_xlfn.CONCAT(B1248,B1249,B1250)</f>
        <v>https://www.ato.gov.au/forms-and-instructions/rental-properties-2025/rental-expenses#Apportionmentofrentalexpenses</v>
      </c>
      <c r="C1251" s="347"/>
      <c r="D1251" s="347"/>
      <c r="E1251" s="347"/>
      <c r="F1251" s="347"/>
      <c r="G1251" s="347"/>
      <c r="H1251" s="347"/>
      <c r="K1251" s="308" t="s">
        <v>85</v>
      </c>
    </row>
    <row r="1252" spans="1:13" ht="15.75" thickTop="1" x14ac:dyDescent="0.25">
      <c r="J1252" s="309" t="s">
        <v>487</v>
      </c>
      <c r="K1252" s="1">
        <f>COUNTA(K3:K1251)</f>
        <v>1249</v>
      </c>
    </row>
    <row r="1253" spans="1:13" ht="15" x14ac:dyDescent="0.25">
      <c r="F1253" s="60"/>
      <c r="G1253" s="60"/>
      <c r="J1253" s="309" t="s">
        <v>488</v>
      </c>
      <c r="K1253" s="1">
        <f>COUNTIF(K3:K1244,N33)</f>
        <v>211</v>
      </c>
    </row>
    <row r="1254" spans="1:13" ht="15" x14ac:dyDescent="0.25">
      <c r="G1254"/>
      <c r="H1254"/>
      <c r="J1254" s="309" t="s">
        <v>489</v>
      </c>
      <c r="K1254" s="38">
        <f>K1253/K1252</f>
        <v>0.1689351481184948</v>
      </c>
    </row>
    <row r="1255" spans="1:13" ht="15" x14ac:dyDescent="0.25">
      <c r="G1255"/>
      <c r="H1255"/>
    </row>
    <row r="1256" spans="1:13" ht="15" x14ac:dyDescent="0.25">
      <c r="B1256" s="52"/>
      <c r="G1256"/>
      <c r="H1256"/>
    </row>
    <row r="1257" spans="1:13" ht="15" x14ac:dyDescent="0.25">
      <c r="G1257"/>
      <c r="H1257"/>
    </row>
    <row r="1258" spans="1:13" ht="15" x14ac:dyDescent="0.25">
      <c r="G1258"/>
      <c r="H1258"/>
    </row>
    <row r="1267" spans="7:8" ht="15" x14ac:dyDescent="0.25">
      <c r="G1267" s="95"/>
      <c r="H1267" s="95"/>
    </row>
    <row r="1268" spans="7:8" ht="15" x14ac:dyDescent="0.25">
      <c r="G1268" s="95"/>
      <c r="H1268" s="95"/>
    </row>
    <row r="1269" spans="7:8" ht="15" x14ac:dyDescent="0.25">
      <c r="G1269" s="95"/>
      <c r="H1269" s="95"/>
    </row>
    <row r="1270" spans="7:8" ht="15" x14ac:dyDescent="0.25">
      <c r="G1270" s="95"/>
      <c r="H1270" s="95"/>
    </row>
    <row r="1271" spans="7:8" ht="15" x14ac:dyDescent="0.25">
      <c r="G1271" s="95"/>
      <c r="H1271" s="95"/>
    </row>
    <row r="1272" spans="7:8" ht="15" x14ac:dyDescent="0.25">
      <c r="G1272" s="95"/>
      <c r="H1272" s="95"/>
    </row>
    <row r="1273" spans="7:8" ht="15" x14ac:dyDescent="0.25">
      <c r="G1273" s="95"/>
      <c r="H1273" s="95"/>
    </row>
    <row r="1274" spans="7:8" ht="15" x14ac:dyDescent="0.25">
      <c r="G1274" s="95"/>
      <c r="H1274" s="95"/>
    </row>
    <row r="1275" spans="7:8" ht="15" x14ac:dyDescent="0.25">
      <c r="G1275" s="95"/>
      <c r="H1275" s="95"/>
    </row>
    <row r="1276" spans="7:8" ht="15" x14ac:dyDescent="0.25">
      <c r="G1276" s="95"/>
      <c r="H1276" s="95"/>
    </row>
    <row r="1277" spans="7:8" ht="15" x14ac:dyDescent="0.25">
      <c r="G1277" s="95"/>
      <c r="H1277" s="95"/>
    </row>
    <row r="1278" spans="7:8" ht="15" x14ac:dyDescent="0.25">
      <c r="G1278" s="95"/>
      <c r="H1278" s="95"/>
    </row>
    <row r="1279" spans="7:8" ht="15" x14ac:dyDescent="0.25">
      <c r="G1279" s="95"/>
      <c r="H1279" s="95"/>
    </row>
    <row r="1280" spans="7:8" ht="15" x14ac:dyDescent="0.25">
      <c r="G1280" s="95"/>
      <c r="H1280" s="95"/>
    </row>
    <row r="1281" spans="7:8" ht="15" x14ac:dyDescent="0.25">
      <c r="G1281" s="95"/>
      <c r="H1281" s="95"/>
    </row>
    <row r="1282" spans="7:8" ht="15" x14ac:dyDescent="0.25">
      <c r="G1282" s="95"/>
      <c r="H1282" s="95"/>
    </row>
    <row r="1283" spans="7:8" ht="15" x14ac:dyDescent="0.25">
      <c r="G1283" s="95"/>
      <c r="H1283" s="95"/>
    </row>
    <row r="1284" spans="7:8" ht="15" x14ac:dyDescent="0.25">
      <c r="G1284" s="95"/>
      <c r="H1284" s="95"/>
    </row>
    <row r="1285" spans="7:8" ht="15" x14ac:dyDescent="0.25">
      <c r="G1285" s="95"/>
      <c r="H1285" s="95"/>
    </row>
    <row r="1286" spans="7:8" ht="15" x14ac:dyDescent="0.25">
      <c r="G1286" s="95"/>
      <c r="H1286" s="95"/>
    </row>
    <row r="1287" spans="7:8" ht="15" x14ac:dyDescent="0.25">
      <c r="G1287" s="95"/>
      <c r="H1287" s="95"/>
    </row>
    <row r="1288" spans="7:8" ht="15" x14ac:dyDescent="0.25">
      <c r="G1288" s="95"/>
      <c r="H1288" s="95"/>
    </row>
    <row r="1289" spans="7:8" ht="15" x14ac:dyDescent="0.25">
      <c r="G1289" s="95"/>
      <c r="H1289" s="95"/>
    </row>
    <row r="1290" spans="7:8" ht="15" x14ac:dyDescent="0.25">
      <c r="G1290" s="95"/>
      <c r="H1290" s="95"/>
    </row>
    <row r="1291" spans="7:8" ht="15" x14ac:dyDescent="0.25">
      <c r="G1291" s="95"/>
      <c r="H1291" s="95"/>
    </row>
    <row r="1292" spans="7:8" ht="15" x14ac:dyDescent="0.25">
      <c r="G1292" s="95"/>
      <c r="H1292" s="95"/>
    </row>
    <row r="1293" spans="7:8" ht="15" x14ac:dyDescent="0.25">
      <c r="G1293" s="95"/>
      <c r="H1293" s="95"/>
    </row>
    <row r="1294" spans="7:8" ht="15" x14ac:dyDescent="0.25">
      <c r="G1294" s="95"/>
      <c r="H1294" s="95"/>
    </row>
    <row r="1295" spans="7:8" ht="15" x14ac:dyDescent="0.25">
      <c r="G1295" s="95"/>
      <c r="H1295" s="95"/>
    </row>
    <row r="1296" spans="7:8" ht="15" x14ac:dyDescent="0.25">
      <c r="G1296"/>
      <c r="H1296"/>
    </row>
    <row r="1297" spans="7:8" ht="15" x14ac:dyDescent="0.25">
      <c r="G1297"/>
      <c r="H1297"/>
    </row>
    <row r="1298" spans="7:8" ht="15" x14ac:dyDescent="0.25">
      <c r="G1298"/>
      <c r="H1298"/>
    </row>
    <row r="1299" spans="7:8" ht="15" x14ac:dyDescent="0.25">
      <c r="G1299"/>
      <c r="H1299"/>
    </row>
    <row r="1300" spans="7:8" ht="15" x14ac:dyDescent="0.25">
      <c r="G1300"/>
      <c r="H1300"/>
    </row>
    <row r="1301" spans="7:8" ht="15" x14ac:dyDescent="0.25">
      <c r="G1301"/>
      <c r="H1301"/>
    </row>
    <row r="1302" spans="7:8" ht="15" x14ac:dyDescent="0.25">
      <c r="G1302"/>
      <c r="H1302"/>
    </row>
    <row r="1303" spans="7:8" ht="15" x14ac:dyDescent="0.25">
      <c r="G1303"/>
      <c r="H1303"/>
    </row>
    <row r="1304" spans="7:8" ht="15" x14ac:dyDescent="0.25">
      <c r="G1304"/>
      <c r="H1304"/>
    </row>
    <row r="1305" spans="7:8" ht="15" x14ac:dyDescent="0.25">
      <c r="G1305"/>
      <c r="H1305"/>
    </row>
    <row r="1306" spans="7:8" ht="15" x14ac:dyDescent="0.25">
      <c r="G1306"/>
      <c r="H1306"/>
    </row>
  </sheetData>
  <sheetProtection algorithmName="SHA-256" hashValue="ZYFO5GQUDbumDedmg2Ij0tSRPikFeVuLARwSE+XG/sU=" saltValue="OWk/CUXD638zoN+QmCu9AA==" spinCount="100000" sheet="1" objects="1" scenarios="1"/>
  <protectedRanges>
    <protectedRange sqref="B1106:B1107" name="Range1_1_1"/>
  </protectedRanges>
  <autoFilter ref="E1:U1245" xr:uid="{2219F37D-C621-468D-A33E-6758DCBD20B6}"/>
  <sortState xmlns:xlrd2="http://schemas.microsoft.com/office/spreadsheetml/2017/richdata2" ref="N30:N33">
    <sortCondition ref="N30:N33"/>
  </sortState>
  <mergeCells count="306">
    <mergeCell ref="B1091:H1091"/>
    <mergeCell ref="B1105:H1105"/>
    <mergeCell ref="B1094:H1094"/>
    <mergeCell ref="B1174:H1174"/>
    <mergeCell ref="B1189:H1189"/>
    <mergeCell ref="B1203:H1203"/>
    <mergeCell ref="B1217:H1217"/>
    <mergeCell ref="B1231:H1231"/>
    <mergeCell ref="B1235:G1235"/>
    <mergeCell ref="B1103:H1103"/>
    <mergeCell ref="B1237:G1237"/>
    <mergeCell ref="B1207:G1207"/>
    <mergeCell ref="B1209:G1209"/>
    <mergeCell ref="B1215:G1215"/>
    <mergeCell ref="B1221:G1221"/>
    <mergeCell ref="B1223:G1223"/>
    <mergeCell ref="B1229:G1229"/>
    <mergeCell ref="B1186:G1186"/>
    <mergeCell ref="B1184:H1184"/>
    <mergeCell ref="B1185:H1185"/>
    <mergeCell ref="B1187:G1187"/>
    <mergeCell ref="B1243:G1243"/>
    <mergeCell ref="B122:G122"/>
    <mergeCell ref="B51:G51"/>
    <mergeCell ref="B60:G60"/>
    <mergeCell ref="B35:G35"/>
    <mergeCell ref="B923:G923"/>
    <mergeCell ref="B877:H877"/>
    <mergeCell ref="B891:H891"/>
    <mergeCell ref="B905:H905"/>
    <mergeCell ref="B919:H919"/>
    <mergeCell ref="B933:H933"/>
    <mergeCell ref="B961:H961"/>
    <mergeCell ref="B975:H975"/>
    <mergeCell ref="B989:H989"/>
    <mergeCell ref="B1003:H1003"/>
    <mergeCell ref="B1017:H1017"/>
    <mergeCell ref="B1031:H1031"/>
    <mergeCell ref="B1045:H1045"/>
    <mergeCell ref="B1059:H1059"/>
    <mergeCell ref="B1073:H1073"/>
    <mergeCell ref="B1193:G1193"/>
    <mergeCell ref="B1195:G1195"/>
    <mergeCell ref="B1201:G1201"/>
    <mergeCell ref="B1087:H1087"/>
    <mergeCell ref="B760:G760"/>
    <mergeCell ref="B763:G763"/>
    <mergeCell ref="B721:G721"/>
    <mergeCell ref="B701:G701"/>
    <mergeCell ref="B729:G729"/>
    <mergeCell ref="B732:G732"/>
    <mergeCell ref="B735:G735"/>
    <mergeCell ref="B741:G741"/>
    <mergeCell ref="B743:G743"/>
    <mergeCell ref="B749:G749"/>
    <mergeCell ref="B757:G757"/>
    <mergeCell ref="B751:H751"/>
    <mergeCell ref="B715:G715"/>
    <mergeCell ref="B704:G704"/>
    <mergeCell ref="B713:G713"/>
    <mergeCell ref="B580:G580"/>
    <mergeCell ref="B600:G600"/>
    <mergeCell ref="B608:G608"/>
    <mergeCell ref="B613:G613"/>
    <mergeCell ref="B631:G631"/>
    <mergeCell ref="B637:G637"/>
    <mergeCell ref="B645:G645"/>
    <mergeCell ref="B673:G673"/>
    <mergeCell ref="B679:G679"/>
    <mergeCell ref="B594:G594"/>
    <mergeCell ref="B651:G651"/>
    <mergeCell ref="B617:G617"/>
    <mergeCell ref="B620:G620"/>
    <mergeCell ref="B643:G643"/>
    <mergeCell ref="B671:G671"/>
    <mergeCell ref="B657:G657"/>
    <mergeCell ref="B659:G659"/>
    <mergeCell ref="B665:G665"/>
    <mergeCell ref="B588:G588"/>
    <mergeCell ref="B591:G591"/>
    <mergeCell ref="B672:G672"/>
    <mergeCell ref="B582:H582"/>
    <mergeCell ref="B596:H596"/>
    <mergeCell ref="B610:H610"/>
    <mergeCell ref="B318:G318"/>
    <mergeCell ref="B346:G346"/>
    <mergeCell ref="B374:G374"/>
    <mergeCell ref="B402:G402"/>
    <mergeCell ref="B368:G368"/>
    <mergeCell ref="B407:G407"/>
    <mergeCell ref="B376:G376"/>
    <mergeCell ref="B382:G382"/>
    <mergeCell ref="B379:G379"/>
    <mergeCell ref="B326:G326"/>
    <mergeCell ref="B334:G334"/>
    <mergeCell ref="B340:G340"/>
    <mergeCell ref="B236:G236"/>
    <mergeCell ref="B194:G194"/>
    <mergeCell ref="B200:G200"/>
    <mergeCell ref="B186:G186"/>
    <mergeCell ref="B261:G261"/>
    <mergeCell ref="B262:G262"/>
    <mergeCell ref="B264:G264"/>
    <mergeCell ref="B270:G270"/>
    <mergeCell ref="B248:G248"/>
    <mergeCell ref="B220:G220"/>
    <mergeCell ref="B234:G234"/>
    <mergeCell ref="B244:H244"/>
    <mergeCell ref="B258:H258"/>
    <mergeCell ref="B256:G256"/>
    <mergeCell ref="B390:G390"/>
    <mergeCell ref="B396:G396"/>
    <mergeCell ref="B348:G348"/>
    <mergeCell ref="B463:G463"/>
    <mergeCell ref="B466:G466"/>
    <mergeCell ref="B480:G480"/>
    <mergeCell ref="B328:H328"/>
    <mergeCell ref="B342:H342"/>
    <mergeCell ref="B356:H356"/>
    <mergeCell ref="B370:H370"/>
    <mergeCell ref="B384:H384"/>
    <mergeCell ref="B398:H398"/>
    <mergeCell ref="B418:G418"/>
    <mergeCell ref="B424:G424"/>
    <mergeCell ref="B432:G432"/>
    <mergeCell ref="B362:G362"/>
    <mergeCell ref="B404:G404"/>
    <mergeCell ref="B354:G354"/>
    <mergeCell ref="B549:G549"/>
    <mergeCell ref="B541:G541"/>
    <mergeCell ref="B566:G566"/>
    <mergeCell ref="B572:G572"/>
    <mergeCell ref="B543:G543"/>
    <mergeCell ref="B557:G557"/>
    <mergeCell ref="B410:G410"/>
    <mergeCell ref="B435:G435"/>
    <mergeCell ref="B438:G438"/>
    <mergeCell ref="B412:H412"/>
    <mergeCell ref="B426:H426"/>
    <mergeCell ref="B440:H440"/>
    <mergeCell ref="B454:H454"/>
    <mergeCell ref="B468:H468"/>
    <mergeCell ref="B482:H482"/>
    <mergeCell ref="B537:H537"/>
    <mergeCell ref="B551:H551"/>
    <mergeCell ref="B568:H568"/>
    <mergeCell ref="B474:G474"/>
    <mergeCell ref="B446:G446"/>
    <mergeCell ref="B452:G452"/>
    <mergeCell ref="B460:G460"/>
    <mergeCell ref="B535:G535"/>
    <mergeCell ref="B138:G138"/>
    <mergeCell ref="B144:G144"/>
    <mergeCell ref="B88:G88"/>
    <mergeCell ref="B202:H202"/>
    <mergeCell ref="B216:H216"/>
    <mergeCell ref="B230:H230"/>
    <mergeCell ref="B152:G152"/>
    <mergeCell ref="B96:G96"/>
    <mergeCell ref="B102:G102"/>
    <mergeCell ref="B110:G110"/>
    <mergeCell ref="B158:G158"/>
    <mergeCell ref="B132:H132"/>
    <mergeCell ref="B146:H146"/>
    <mergeCell ref="B160:H160"/>
    <mergeCell ref="B174:H174"/>
    <mergeCell ref="B188:H188"/>
    <mergeCell ref="B166:G166"/>
    <mergeCell ref="B172:G172"/>
    <mergeCell ref="B206:H206"/>
    <mergeCell ref="B180:G180"/>
    <mergeCell ref="B208:G208"/>
    <mergeCell ref="B214:G214"/>
    <mergeCell ref="B222:G222"/>
    <mergeCell ref="B228:G228"/>
    <mergeCell ref="B911:G911"/>
    <mergeCell ref="B917:G917"/>
    <mergeCell ref="B841:G841"/>
    <mergeCell ref="B844:G844"/>
    <mergeCell ref="B847:G847"/>
    <mergeCell ref="B855:G855"/>
    <mergeCell ref="B629:G629"/>
    <mergeCell ref="B82:G82"/>
    <mergeCell ref="B532:G532"/>
    <mergeCell ref="B488:G488"/>
    <mergeCell ref="B275:G275"/>
    <mergeCell ref="B320:G320"/>
    <mergeCell ref="B707:G707"/>
    <mergeCell ref="B687:G687"/>
    <mergeCell ref="B693:G693"/>
    <mergeCell ref="B623:G623"/>
    <mergeCell ref="B602:G602"/>
    <mergeCell ref="B574:G574"/>
    <mergeCell ref="B278:G278"/>
    <mergeCell ref="B242:G242"/>
    <mergeCell ref="B250:G250"/>
    <mergeCell ref="B116:G116"/>
    <mergeCell ref="B124:G124"/>
    <mergeCell ref="B130:G130"/>
    <mergeCell ref="B805:G805"/>
    <mergeCell ref="B967:G967"/>
    <mergeCell ref="B973:G973"/>
    <mergeCell ref="B981:G981"/>
    <mergeCell ref="B984:G984"/>
    <mergeCell ref="B939:G939"/>
    <mergeCell ref="B945:G945"/>
    <mergeCell ref="B925:G925"/>
    <mergeCell ref="B928:G928"/>
    <mergeCell ref="B931:G931"/>
    <mergeCell ref="B813:G813"/>
    <mergeCell ref="B816:G816"/>
    <mergeCell ref="B819:G819"/>
    <mergeCell ref="B827:G827"/>
    <mergeCell ref="B833:G833"/>
    <mergeCell ref="B889:G889"/>
    <mergeCell ref="B897:G897"/>
    <mergeCell ref="B900:G900"/>
    <mergeCell ref="B903:G903"/>
    <mergeCell ref="B872:G872"/>
    <mergeCell ref="B875:G875"/>
    <mergeCell ref="B883:G883"/>
    <mergeCell ref="B861:G861"/>
    <mergeCell ref="B869:G869"/>
    <mergeCell ref="B995:G995"/>
    <mergeCell ref="B993:G993"/>
    <mergeCell ref="B1021:G1021"/>
    <mergeCell ref="B1023:G1023"/>
    <mergeCell ref="B1015:G1015"/>
    <mergeCell ref="B1012:G1012"/>
    <mergeCell ref="B1009:G1009"/>
    <mergeCell ref="B1001:G1001"/>
    <mergeCell ref="B987:G987"/>
    <mergeCell ref="B1065:G1065"/>
    <mergeCell ref="B1071:G1071"/>
    <mergeCell ref="B1077:G1077"/>
    <mergeCell ref="B1029:G1029"/>
    <mergeCell ref="B1035:G1035"/>
    <mergeCell ref="B1037:G1037"/>
    <mergeCell ref="B1040:G1040"/>
    <mergeCell ref="B1043:G1043"/>
    <mergeCell ref="B1051:G1051"/>
    <mergeCell ref="B1054:G1054"/>
    <mergeCell ref="B1057:G1057"/>
    <mergeCell ref="B3:H3"/>
    <mergeCell ref="B17:H17"/>
    <mergeCell ref="B31:H31"/>
    <mergeCell ref="B45:H45"/>
    <mergeCell ref="B62:H62"/>
    <mergeCell ref="B76:H76"/>
    <mergeCell ref="B90:H90"/>
    <mergeCell ref="B104:H104"/>
    <mergeCell ref="B118:H118"/>
    <mergeCell ref="B9:G9"/>
    <mergeCell ref="B37:G37"/>
    <mergeCell ref="B43:G43"/>
    <mergeCell ref="B15:G15"/>
    <mergeCell ref="B23:G23"/>
    <mergeCell ref="B29:G29"/>
    <mergeCell ref="B68:G68"/>
    <mergeCell ref="B74:G74"/>
    <mergeCell ref="B272:H272"/>
    <mergeCell ref="B286:H286"/>
    <mergeCell ref="B300:H300"/>
    <mergeCell ref="B314:H314"/>
    <mergeCell ref="B284:G284"/>
    <mergeCell ref="B304:G304"/>
    <mergeCell ref="B289:G289"/>
    <mergeCell ref="B306:G306"/>
    <mergeCell ref="B312:G312"/>
    <mergeCell ref="B292:G292"/>
    <mergeCell ref="B298:G298"/>
    <mergeCell ref="B276:G276"/>
    <mergeCell ref="B625:H625"/>
    <mergeCell ref="B639:H639"/>
    <mergeCell ref="B653:H653"/>
    <mergeCell ref="B667:H667"/>
    <mergeCell ref="B681:H681"/>
    <mergeCell ref="B695:H695"/>
    <mergeCell ref="B709:H709"/>
    <mergeCell ref="B723:H723"/>
    <mergeCell ref="B737:H737"/>
    <mergeCell ref="B685:G685"/>
    <mergeCell ref="A1248:A1251"/>
    <mergeCell ref="A1245:H1245"/>
    <mergeCell ref="B765:H765"/>
    <mergeCell ref="B779:H779"/>
    <mergeCell ref="B793:H793"/>
    <mergeCell ref="B807:H807"/>
    <mergeCell ref="B821:H821"/>
    <mergeCell ref="B835:H835"/>
    <mergeCell ref="B849:H849"/>
    <mergeCell ref="B863:H863"/>
    <mergeCell ref="B771:G771"/>
    <mergeCell ref="B777:G777"/>
    <mergeCell ref="B785:G785"/>
    <mergeCell ref="B788:G788"/>
    <mergeCell ref="B791:G791"/>
    <mergeCell ref="B799:G799"/>
    <mergeCell ref="B947:H947"/>
    <mergeCell ref="B953:G953"/>
    <mergeCell ref="B959:G959"/>
    <mergeCell ref="B951:G951"/>
    <mergeCell ref="B937:G937"/>
    <mergeCell ref="B1079:G1079"/>
    <mergeCell ref="B1085:G1085"/>
    <mergeCell ref="B1063:G1063"/>
  </mergeCells>
  <conditionalFormatting sqref="B1112:G1117">
    <cfRule type="expression" dxfId="70" priority="52">
      <formula>IF(AND($B$1107&gt;100,$B$1109&gt;=5),TRUE,FALSE)</formula>
    </cfRule>
  </conditionalFormatting>
  <conditionalFormatting sqref="B1121:G1126">
    <cfRule type="expression" dxfId="69" priority="51">
      <formula>IF(AND($B$1107&gt;100,$B$1109=4),TRUE,FALSE)</formula>
    </cfRule>
  </conditionalFormatting>
  <conditionalFormatting sqref="B1130:G1135">
    <cfRule type="expression" dxfId="68" priority="4">
      <formula>IF(AND($B$1107&gt;100,$B$1109=3),TRUE,FALSE)</formula>
    </cfRule>
  </conditionalFormatting>
  <conditionalFormatting sqref="B1139:G1144">
    <cfRule type="expression" dxfId="67" priority="2">
      <formula>IF(AND($B$1107&gt;100,$B$1109=2),TRUE,FALSE)</formula>
    </cfRule>
  </conditionalFormatting>
  <conditionalFormatting sqref="B1148:G1153">
    <cfRule type="expression" dxfId="66" priority="48">
      <formula>IF(AND($B$1107&gt;100,$B$1109=1),TRUE,FALSE)</formula>
    </cfRule>
  </conditionalFormatting>
  <conditionalFormatting sqref="D1182">
    <cfRule type="expression" dxfId="65" priority="7">
      <formula>IF($D$1182&lt;&gt;$B$1107,TRUE,FALSE)</formula>
    </cfRule>
  </conditionalFormatting>
  <conditionalFormatting sqref="G1112">
    <cfRule type="expression" dxfId="64" priority="47">
      <formula>IF($F$1112&lt;&gt;$G$1112,TRUE,FALSE)</formula>
    </cfRule>
  </conditionalFormatting>
  <conditionalFormatting sqref="G1116">
    <cfRule type="expression" dxfId="63" priority="33">
      <formula>IF($F$1116&lt;&gt;$G$1116,TRUE,FALSE)</formula>
    </cfRule>
  </conditionalFormatting>
  <conditionalFormatting sqref="G1117">
    <cfRule type="expression" dxfId="62" priority="42">
      <formula>IF($F$1117&lt;&gt;$G$1117,TRUE,FALSE)</formula>
    </cfRule>
  </conditionalFormatting>
  <conditionalFormatting sqref="G1121">
    <cfRule type="expression" dxfId="61" priority="30">
      <formula>IF($F$1121&lt;&gt;$G$1121,TRUE,FALSE)</formula>
    </cfRule>
  </conditionalFormatting>
  <conditionalFormatting sqref="G1124">
    <cfRule type="expression" dxfId="60" priority="27">
      <formula>IF($F$1124&lt;&gt;$G$1124,TRUE,FALSE)</formula>
    </cfRule>
  </conditionalFormatting>
  <conditionalFormatting sqref="G1125">
    <cfRule type="expression" dxfId="59" priority="25">
      <formula>IF($F$1125&lt;&gt;$G$1125,TRUE,FALSE)</formula>
    </cfRule>
  </conditionalFormatting>
  <conditionalFormatting sqref="G1126">
    <cfRule type="expression" dxfId="58" priority="29">
      <formula>IF($F$1117&lt;&gt;$G$1117,TRUE,FALSE)</formula>
    </cfRule>
  </conditionalFormatting>
  <conditionalFormatting sqref="G1130">
    <cfRule type="expression" dxfId="57" priority="16">
      <formula>IF($F$1130&lt;&gt;$G$1130,TRUE,FALSE)</formula>
    </cfRule>
  </conditionalFormatting>
  <conditionalFormatting sqref="G1132">
    <cfRule type="expression" dxfId="56" priority="3">
      <formula>IF($F$1132&lt;&gt;$G$1132,TRUE,FALSE)</formula>
    </cfRule>
  </conditionalFormatting>
  <conditionalFormatting sqref="G1133">
    <cfRule type="expression" dxfId="55" priority="9">
      <formula>IF($F$1133&lt;&gt;$G$1133,TRUE,FALSE)</formula>
    </cfRule>
  </conditionalFormatting>
  <conditionalFormatting sqref="G1134">
    <cfRule type="expression" dxfId="54" priority="20">
      <formula>IF($F$1116&lt;&gt;$G$1116,TRUE,FALSE)</formula>
    </cfRule>
  </conditionalFormatting>
  <conditionalFormatting sqref="G1135">
    <cfRule type="expression" dxfId="53" priority="21">
      <formula>IF($F$1117&lt;&gt;$G$1117,TRUE,FALSE)</formula>
    </cfRule>
  </conditionalFormatting>
  <conditionalFormatting sqref="G1139">
    <cfRule type="expression" dxfId="52" priority="19">
      <formula>IF($F$1139&lt;&gt;$G$1139,TRUE,FALSE)</formula>
    </cfRule>
  </conditionalFormatting>
  <conditionalFormatting sqref="G1140">
    <cfRule type="expression" dxfId="51" priority="1">
      <formula>IF($F$1140&lt;&gt;$G$1140,TRUE,FALSE)</formula>
    </cfRule>
  </conditionalFormatting>
  <conditionalFormatting sqref="G1141">
    <cfRule type="expression" dxfId="50" priority="15">
      <formula>IF($F$1141&lt;&gt;$G$1141,TRUE,FALSE)</formula>
    </cfRule>
  </conditionalFormatting>
  <conditionalFormatting sqref="G1143">
    <cfRule type="expression" dxfId="49" priority="17">
      <formula>IF($F$1116&lt;&gt;$G$1116,TRUE,FALSE)</formula>
    </cfRule>
  </conditionalFormatting>
  <conditionalFormatting sqref="G1144">
    <cfRule type="expression" dxfId="48" priority="18">
      <formula>IF($F$1117&lt;&gt;$G$1117,TRUE,FALSE)</formula>
    </cfRule>
  </conditionalFormatting>
  <conditionalFormatting sqref="G1148">
    <cfRule type="expression" dxfId="47" priority="43">
      <formula>IF($F$1148&lt;&gt;$G$1148,TRUE,FALSE)</formula>
    </cfRule>
  </conditionalFormatting>
  <conditionalFormatting sqref="G1149">
    <cfRule type="expression" dxfId="46" priority="10">
      <formula>IF($F$1149&lt;&gt;$G$1149,TRUE,FALSE)</formula>
    </cfRule>
  </conditionalFormatting>
  <conditionalFormatting sqref="K2:M271 L272:M475 K272:K652 L476:L477 L478:M652 K653:M1244 L1245:M1245 K1245:K1251">
    <cfRule type="expression" dxfId="45" priority="54">
      <formula>IF(K2="Tech Clearance - Content change",TRUE,FALSE)</formula>
    </cfRule>
    <cfRule type="expression" dxfId="44" priority="55">
      <formula>IF(K2="Addition",TRUE,FALSE)</formula>
    </cfRule>
    <cfRule type="expression" dxfId="43" priority="56">
      <formula>IF(K2="Format change",TRUE,FALSE)</formula>
    </cfRule>
    <cfRule type="expression" dxfId="42" priority="57">
      <formula>IF(K2="Tech Clearance",TRUE,FALSE)</formula>
    </cfRule>
  </conditionalFormatting>
  <conditionalFormatting sqref="M1">
    <cfRule type="expression" dxfId="41" priority="58">
      <formula>IF(M1="Addition",TRUE,FALSE)</formula>
    </cfRule>
    <cfRule type="expression" dxfId="40" priority="69">
      <formula>IF(M1="Format change",TRUE,FALSE)</formula>
    </cfRule>
    <cfRule type="expression" dxfId="39" priority="73">
      <formula>IF(M1="Tech Clearance",TRUE,FALSE)</formula>
    </cfRule>
  </conditionalFormatting>
  <dataValidations count="3">
    <dataValidation type="list" allowBlank="1" showInputMessage="1" showErrorMessage="1" sqref="B371 B654 B948 B259 B273 B766 B710 B682 B668 B640 B626 B611 B583 B357 B343 B32 B77 B91 B105 B119 B133 B147 B161 B175 B189 B203 B217 B231 B245 B287 B301 B315 B329 B385 B399 B413 B427 B441 B455 B483 B469 B552 B569 B538 B63 B597 B696 B724 B738 B752 B780 B794 B808 B822 B836 B850 B864 B878 B892 B906 B920 B934 B962 B976 B990 B1004 B1018 B1032 B1046 B1060 B1074 B1190 B1204 B1218 B1232 B46" xr:uid="{02FB8F89-4C26-460E-AFAC-C0C4DE287EBE}">
      <formula1>$N$4:$N$27</formula1>
    </dataValidation>
    <dataValidation type="list" allowBlank="1" showInputMessage="1" showErrorMessage="1" sqref="B4 B18" xr:uid="{A4A0A006-5948-4962-B46D-32B17AA86D57}">
      <formula1>$N$3:$N$27</formula1>
    </dataValidation>
    <dataValidation type="list" allowBlank="1" showInputMessage="1" showErrorMessage="1" sqref="K2:K1251" xr:uid="{1143C296-C96E-4CD1-9F17-4A23EF2295B4}">
      <formula1>$N$30:$N$34</formula1>
    </dataValidation>
  </dataValidations>
  <hyperlinks>
    <hyperlink ref="A3" location="'Borrowing expenses'!A1" display="Cell A1" xr:uid="{2991EBF6-1B14-4160-ADA6-29E2724BF261}"/>
    <hyperlink ref="A31" location="'Borrowing expenses'!A3" display="Cell A3" xr:uid="{E2DB4D3D-92E4-4746-889B-73C74ED8BF2C}"/>
    <hyperlink ref="A76" location="'Borrowing expenses'!A5" display="Cell A5" xr:uid="{A4D75469-ED21-4229-9866-59A13E8A4062}"/>
    <hyperlink ref="A90" location="'Borrowing expenses'!A6" display="Cell A6" xr:uid="{C8BA3727-2576-4776-885E-01BBC5C8EFC0}"/>
    <hyperlink ref="A104" location="'Borrowing expenses'!A7" display="Cell A7" xr:uid="{06821967-6CC6-4A0D-883F-4A2DBF68714B}"/>
    <hyperlink ref="A118" location="'Borrowing expenses'!A8" display="Cell A8" xr:uid="{AE266969-A831-4349-B192-5F237C2838AB}"/>
    <hyperlink ref="A132" location="'Borrowing expenses'!A9" display="Cell A9" xr:uid="{93388773-809E-414F-AA2E-C43D5CFDE2B1}"/>
    <hyperlink ref="A146" location="'Borrowing expenses'!A10" display="Cell A10" xr:uid="{9034FFEA-B820-47FC-9F8F-7D145BD7BB6B}"/>
    <hyperlink ref="A160" location="'Borrowing expenses'!A11" display="Cell A11" xr:uid="{7E497451-A6F7-4EF4-B936-2366D7CC8AA2}"/>
    <hyperlink ref="A174" location="'Borrowing expenses'!A12" display="Cell A12" xr:uid="{12424238-0679-43DF-B807-7A1F162F50D4}"/>
    <hyperlink ref="A188" location="'Borrowing expenses'!A13" display="Cell A13" xr:uid="{1878C413-F5BB-4FBE-9489-B09ACF5B0725}"/>
    <hyperlink ref="A202" location="'Borrowing expenses'!A14" display="Cell A14" xr:uid="{B12E8E6B-8117-4DCE-9140-E8EBDD1BEE46}"/>
    <hyperlink ref="A216" location="'Borrowing expenses'!A15" display="Cell A15" xr:uid="{7CF0FD3F-B144-4B95-8D62-017C3B01A69D}"/>
    <hyperlink ref="A230" location="'Borrowing expenses'!A16" display="Cell A16" xr:uid="{FFDE7010-20E6-400A-BA2B-FA90A40A22D7}"/>
    <hyperlink ref="A244" location="'Borrowing expenses'!A17" display="Cell A17" xr:uid="{07B23D02-8C20-412F-B10D-2C8A22A1CAAD}"/>
    <hyperlink ref="A286" location="'Borrowing expenses'!A20" display="Cell A20" xr:uid="{BEED79D7-2608-4288-B147-0F3671CE6808}"/>
    <hyperlink ref="A300" location="'Borrowing expenses'!A21" display="Cell A21" xr:uid="{5AE7635F-C5BA-4859-B91A-13F7207C7624}"/>
    <hyperlink ref="A314" location="'Borrowing expenses'!A22" display="Cell A22" xr:uid="{2D82D2D3-AC8F-478E-BBFE-3442A4411F59}"/>
    <hyperlink ref="A328" location="'Borrowing expenses'!A23" display="Cell A23" xr:uid="{2BB6794A-5B3E-4F0E-8121-4D73907096FB}"/>
    <hyperlink ref="A384" location="'Borrowing expenses'!A26" display="Cell A26" xr:uid="{89360DB4-E930-41B7-8BEF-2156FFCB1CB1}"/>
    <hyperlink ref="A398" location="'Borrowing expenses'!B26" display="Cell B26" xr:uid="{EBA917A6-6F67-4BC9-BB03-D6A17C7C6EBB}"/>
    <hyperlink ref="A412" location="'Borrowing expenses'!A27" display="Cell A27" xr:uid="{63CBE35C-8505-424C-9464-A2FB1CF46F27}"/>
    <hyperlink ref="A426" location="'Borrowing expenses'!E27" display="Cell E27" xr:uid="{38A4BCFD-E6C8-4302-BED5-7AAFF95F2281}"/>
    <hyperlink ref="A440" location="'Borrowing expenses'!A28" display="Cell A28" xr:uid="{3D903DAF-46EC-4E00-89B0-1F93866A06FB}"/>
    <hyperlink ref="A454" location="'Borrowing expenses'!E28" display="Cell E28" xr:uid="{71E193CA-F235-4586-8AC1-6D404BAC45D3}"/>
    <hyperlink ref="A468" location="'Borrowing expenses'!A29" display="Cell A29" xr:uid="{4F8CE7AF-C64E-4586-B5D3-A3C7D422E4D7}"/>
    <hyperlink ref="A482" location="'Borrowing expenses'!E29" display="Cell E29" xr:uid="{27B07F69-4E21-4C73-9964-ED40143C17DC}"/>
    <hyperlink ref="A537" location="'Borrowing expenses'!A30" display="Cell A30" xr:uid="{D12CBA1A-C848-4629-9253-547DABD3DD11}"/>
    <hyperlink ref="A551" location="'Borrowing expenses'!E30" display="Cell E30" xr:uid="{01E24175-42D0-474F-9734-3696D01642E5}"/>
    <hyperlink ref="A568" location="'Borrowing expenses'!A31" display="Cell A31" xr:uid="{377CBED8-E4DC-4918-85FD-05E687812856}"/>
    <hyperlink ref="A596" location="'Borrowing expenses'!A32" display="Cell A32" xr:uid="{EBA5AA1F-6CD4-469A-877A-A22C8AB85D3B}"/>
    <hyperlink ref="A610" location="'Borrowing expenses'!E32" display="Cell E32" xr:uid="{EE8D77C5-D99B-4EA5-9A6A-36548C9F9F79}"/>
    <hyperlink ref="A625" location="'Borrowing expenses'!A33" display="Cell A33" xr:uid="{0CEF7DC3-F8B2-46C2-A5E0-466EA6FCE8D6}"/>
    <hyperlink ref="A667" location="'Borrowing expenses'!E35" display="Cell E35" xr:uid="{DC861BD0-1DDB-4BDB-A4D4-7CC55446BE6B}"/>
    <hyperlink ref="A639" location="'Borrowing expenses'!A34" display="Cell A34" xr:uid="{01DC9833-3551-4608-A408-198131E008A0}"/>
    <hyperlink ref="A681" location="'Borrowing expenses'!A36" display="Cell A36" xr:uid="{F8D971C6-8683-41F3-8755-E04A4D856DAD}"/>
    <hyperlink ref="A709" location="'Borrowing expenses'!A37" display="Cell A37" xr:uid="{319A0282-C94A-4DE1-84C8-C6B664914694}"/>
    <hyperlink ref="A765" location="'Borrowing expenses'!A39" display="Cell A39" xr:uid="{003858EA-3329-4BC1-ADFE-E453C9DD7442}"/>
    <hyperlink ref="A272" location="'Borrowing expenses'!A19" display="Cell A19" xr:uid="{3DC892A7-F530-41DF-B58D-FF3007337F90}"/>
    <hyperlink ref="A62" location="'Borrowing expenses'!C4" display="Cell C4" xr:uid="{FCB298D4-4979-4DBC-B669-C2726E68966D}"/>
    <hyperlink ref="A342" location="'Borrowing expenses'!A24" display="Cell A24" xr:uid="{9D97081F-0570-42A7-A0D3-2C8C634880D2}"/>
    <hyperlink ref="A370" location="'Borrowing expenses'!B25" display="Cell B25" xr:uid="{EB952FB8-E3EC-45DB-8E1A-B9E689A516EB}"/>
    <hyperlink ref="A356" location="'Borrowing expenses'!A25" display="Cell A25" xr:uid="{C6378285-0986-4BDA-B1E6-2D48BC3C3242}"/>
    <hyperlink ref="A582" location="'Borrowing expenses'!E31" display="Cell E31" xr:uid="{581BE7B2-D99F-4242-ADCF-5F4E4AEC1A8D}"/>
    <hyperlink ref="A695" location="'Borrowing expenses'!E36" display="Cell E36" xr:uid="{AE7118BA-01E6-44FA-8450-15EE0F1C0B90}"/>
    <hyperlink ref="A723" location="'Borrowing expenses'!E37" display="Cell E37" xr:uid="{BFA2ACC2-10C1-4A21-9828-1AEBD16566BA}"/>
    <hyperlink ref="A737" location="'Borrowing expenses'!A38" display="Cell A38" xr:uid="{11E1D718-C5A8-428E-9777-C30EF5F31EDA}"/>
    <hyperlink ref="A751" location="'Borrowing expenses'!E38" display="Cell E38" xr:uid="{DED61AA5-D673-4854-B639-61DF9FE689CD}"/>
    <hyperlink ref="A779" location="'Borrowing expenses'!E38" display="Cell E38" xr:uid="{E15ECBBF-0E3F-4521-83F4-052CE5C89BCD}"/>
    <hyperlink ref="A793" location="'Borrowing expenses'!A40" display="Cell A40" xr:uid="{6B9377FC-1E98-4F85-BFC9-2C3DD13B9D8B}"/>
    <hyperlink ref="A807" location="'Borrowing expenses'!E40" display="Cell E40" xr:uid="{0D11C4B8-0321-49FB-AC8B-40C3FDD0A746}"/>
    <hyperlink ref="A821" location="'Borrowing expenses'!A41" display="Cell A41" xr:uid="{A436C122-6847-47EA-A5CA-F109342A46E1}"/>
    <hyperlink ref="A835" location="'Borrowing expenses'!E41" display="Cell E41" xr:uid="{9273F080-2FAD-4301-972B-D35C81D6AF47}"/>
    <hyperlink ref="A849" location="'Borrowing expenses'!A42" display="Cell A42" xr:uid="{BCC6A062-1869-4305-AFD6-42E9E73DEF31}"/>
    <hyperlink ref="A863" location="'Borrowing expenses'!E42" display="Cell E42" xr:uid="{F249EB7C-D543-4061-96E9-0E116E9BE2E0}"/>
    <hyperlink ref="A877" location="'Borrowing expenses'!A43" display="Cell A43" xr:uid="{45548E8A-B16F-4D20-8CEF-1FA7559E6756}"/>
    <hyperlink ref="A891" location="'Borrowing expenses'!E43" display="Cell E43" xr:uid="{EEC60578-6EE5-4218-AE7A-C6F786813D07}"/>
    <hyperlink ref="A905" location="'Borrowing expenses'!A44" display="Cell A44" xr:uid="{D5AFAA89-E877-48C0-9075-991175286905}"/>
    <hyperlink ref="A919" location="'Borrowing expenses'!A45" display="Cell A45" xr:uid="{C2EE59F7-FE82-49B2-8983-C2C7D3BDB04D}"/>
    <hyperlink ref="A933" location="'Borrowing expenses'!A46" display="Cell A46" xr:uid="{1493AE85-D196-4997-9553-D4FBCA4D577A}"/>
    <hyperlink ref="A961" location="'Borrowing expenses'!A48" display="Cell A48" xr:uid="{57F6174F-70C7-4BC4-AA8B-55D23B219B39}"/>
    <hyperlink ref="A975" location="'Borrowing expenses'!B48" display="Cell B48" xr:uid="{386EB729-CCD5-4B0F-A77F-E784127BDCE3}"/>
    <hyperlink ref="A989" location="'Borrowing expenses'!A49" display="Cell A49" xr:uid="{A87BDDB4-E476-4042-BCD9-0AE0B66491B1}"/>
    <hyperlink ref="A1003" location="'Borrowing expenses'!B49" display="Cell B49" xr:uid="{DB754AC2-6B89-452A-ABDF-CDE2E3573C2D}"/>
    <hyperlink ref="A1017" location="'Borrowing expenses'!A50" display="Cell A50" xr:uid="{0D79AEF6-E9B8-4593-ACBB-2535097F1424}"/>
    <hyperlink ref="A1031" location="'Borrowing expenses'!C50" display="Cell C50" xr:uid="{01DB3917-9C74-4439-ACA9-D2AB45A924A3}"/>
    <hyperlink ref="A1045" location="'Borrowing expenses'!E50" display="Cell E50" xr:uid="{E96F2732-5D66-4ADC-A4FA-4B8FDAFF7023}"/>
    <hyperlink ref="A1059" location="'Borrowing expenses'!A51" display="Cell A51" xr:uid="{5E20DF0B-A841-4775-ABB9-14AFB58F5020}"/>
    <hyperlink ref="A1073" location="'Borrowing expenses'!A52" display="Cell A52" xr:uid="{7D4A9438-3611-4149-BA52-CBF1407DA33B}"/>
    <hyperlink ref="A1189" location="'Borrowing expenses'!A61" display="Cell A61" xr:uid="{F845EFC9-6034-49B7-A287-3B01E803F4A1}"/>
    <hyperlink ref="A1203" location="'Borrowing expenses'!A62" display="Cell A62" xr:uid="{2A958A38-53E2-430B-A873-4AD91D1A4142}"/>
    <hyperlink ref="A1217" location="'Borrowing expenses'!A63" display="Cell A63" xr:uid="{DB8AD31F-6E59-4B6E-A138-3B3C5D950013}"/>
    <hyperlink ref="A1231" location="'Borrowing expenses'!A64" display="Cell A64" xr:uid="{42A56427-7D47-4FFA-BD47-B441A7AD7494}"/>
    <hyperlink ref="A45" location="'Borrowing expenses'!A4" display="Cell A4" xr:uid="{D843EF42-17F8-423E-9302-080A8E96FB08}"/>
    <hyperlink ref="A1174" location="'Borrowing expenses'!B53" display="Cell B53" xr:uid="{5D69E977-BBBE-4932-BAA8-0B46206909A9}"/>
    <hyperlink ref="A17" location="'Borrowing expenses'!A2" display="Cell A2" xr:uid="{71DE3A6B-2849-41E3-9F00-9DAFE015B053}"/>
    <hyperlink ref="A947" location="'Borrowing expenses'!A47" display="Cell A47" xr:uid="{7E9B260F-FC13-4A2C-8F3B-6B37B0A6C734}"/>
    <hyperlink ref="B135" location="'Borrowing expenses'!A13" display="• Things to know" xr:uid="{00DE14C5-9334-47D7-9D18-BC8A34853A0E}"/>
    <hyperlink ref="B150" location="'Borrowing expenses'!A20" display="• Enter your information" xr:uid="{7EB196AB-25DC-4D99-9778-5D6CF4D96FE6}"/>
    <hyperlink ref="B164" location="'Borrowing expenses'!A43" display="• Information entry guidance" xr:uid="{4CF528F6-0927-442E-A746-CA66858F1485}"/>
    <hyperlink ref="B178" location="'Borrowing expenses'!A45" display="• Result" xr:uid="{936C8F04-B351-4EDE-A6BB-84CC4843834D}"/>
    <hyperlink ref="A653" location="'Borrowing expenses'!A35" display="Cell A35" xr:uid="{C9980CF4-C558-4C65-8844-C607A1F31629}"/>
    <hyperlink ref="A258" location="'Borrowing expenses'!A18" display="Cell A18" xr:uid="{B5C6A92B-998A-46C3-BD09-F82C1A0428F8}"/>
    <hyperlink ref="B206:H206" r:id="rId1" display="• For information about claiming borrowing expenses, see Borrowing expenses." xr:uid="{6A5FC9E9-C0B2-4D4A-8268-A0D6D6762BDC}"/>
    <hyperlink ref="B1246" r:id="rId2" xr:uid="{7029BC48-96FE-43FE-94F9-497711D2D441}"/>
  </hyperlinks>
  <pageMargins left="0.7" right="0.7" top="0.75" bottom="0.75" header="0.3" footer="0.3"/>
  <pageSetup paperSize="9" scale="27" fitToHeight="0" orientation="portrait" horizontalDpi="300" verticalDpi="300" r:id="rId3"/>
  <ignoredErrors>
    <ignoredError sqref="C1166:C1171 C1160 F1127"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B3DEC-D990-44B9-BD3D-BC7659513853}">
  <sheetPr>
    <tabColor rgb="FF3844CA"/>
  </sheetPr>
  <dimension ref="A1:AA99"/>
  <sheetViews>
    <sheetView showGridLines="0" topLeftCell="A3" zoomScaleNormal="100" workbookViewId="0">
      <selection activeCell="C5" sqref="C5"/>
    </sheetView>
  </sheetViews>
  <sheetFormatPr defaultRowHeight="15" x14ac:dyDescent="0.25"/>
  <cols>
    <col min="1" max="1" width="3" customWidth="1"/>
    <col min="2" max="2" width="44.5703125" customWidth="1"/>
    <col min="3" max="3" width="15.85546875" customWidth="1"/>
    <col min="4" max="4" width="3" customWidth="1"/>
    <col min="5" max="5" width="18.5703125" customWidth="1"/>
    <col min="6" max="6" width="12.140625" customWidth="1"/>
    <col min="7" max="7" width="8.85546875" customWidth="1"/>
    <col min="8" max="8" width="19.140625" customWidth="1"/>
    <col min="9" max="9" width="10.5703125" customWidth="1"/>
    <col min="10" max="10" width="11.140625" customWidth="1"/>
    <col min="11" max="11" width="12.140625" customWidth="1"/>
    <col min="12" max="12" width="11" customWidth="1"/>
    <col min="13" max="13" width="8.85546875" customWidth="1"/>
    <col min="14" max="14" width="12.85546875" style="90" customWidth="1"/>
    <col min="15" max="16" width="11.42578125" customWidth="1"/>
    <col min="17" max="17" width="11.140625" customWidth="1"/>
    <col min="18" max="18" width="9" customWidth="1"/>
    <col min="19" max="19" width="12.85546875" customWidth="1"/>
    <col min="20" max="20" width="3.140625" customWidth="1"/>
    <col min="23" max="23" width="11.85546875" bestFit="1" customWidth="1"/>
    <col min="27" max="27" width="11.85546875" customWidth="1"/>
  </cols>
  <sheetData>
    <row r="1" spans="1:27" ht="18" x14ac:dyDescent="0.25">
      <c r="A1" s="191" t="s">
        <v>490</v>
      </c>
      <c r="B1" s="114"/>
      <c r="C1" s="114"/>
      <c r="D1" s="114"/>
      <c r="E1" s="114"/>
      <c r="F1" s="114"/>
      <c r="G1" s="114"/>
      <c r="H1" s="114"/>
      <c r="I1" s="114"/>
      <c r="J1" s="114"/>
      <c r="K1" s="114"/>
      <c r="L1" s="114"/>
      <c r="M1" s="114"/>
      <c r="N1" s="115"/>
      <c r="O1" s="114"/>
      <c r="P1" s="114"/>
      <c r="Q1" s="114"/>
      <c r="R1" s="114"/>
      <c r="S1" s="114"/>
      <c r="T1" s="114"/>
    </row>
    <row r="2" spans="1:27" ht="11.45" customHeight="1" thickBot="1" x14ac:dyDescent="0.3">
      <c r="A2" s="116"/>
      <c r="B2" s="114"/>
      <c r="C2" s="114"/>
      <c r="D2" s="114"/>
      <c r="E2" s="114"/>
      <c r="F2" s="114"/>
      <c r="G2" s="114"/>
      <c r="H2" s="114"/>
      <c r="I2" s="114"/>
      <c r="J2" s="114"/>
      <c r="K2" s="114"/>
      <c r="L2" s="114"/>
      <c r="M2" s="114"/>
      <c r="N2" s="115"/>
      <c r="O2" s="114"/>
      <c r="P2" s="114"/>
      <c r="Q2" s="114"/>
      <c r="R2" s="114"/>
      <c r="S2" s="114"/>
      <c r="T2" s="114"/>
    </row>
    <row r="3" spans="1:27" ht="30.6" customHeight="1" thickBot="1" x14ac:dyDescent="0.3">
      <c r="A3" s="437" t="str">
        <f>'Borrowing expenses'!A3</f>
        <v>Rental property deductible borrowing expenses calculator</v>
      </c>
      <c r="B3" s="437"/>
      <c r="C3" s="154" t="s">
        <v>491</v>
      </c>
      <c r="D3" s="117"/>
      <c r="E3" s="437" t="str">
        <f>A3</f>
        <v>Rental property deductible borrowing expenses calculator</v>
      </c>
      <c r="F3" s="437"/>
      <c r="G3" s="437"/>
      <c r="H3" s="437"/>
      <c r="I3" s="154"/>
      <c r="J3" s="154"/>
      <c r="K3" s="333"/>
      <c r="L3" s="155" t="s">
        <v>492</v>
      </c>
      <c r="M3" s="156"/>
      <c r="N3" s="333"/>
      <c r="O3" s="333"/>
      <c r="P3" s="333"/>
      <c r="Q3" s="157"/>
      <c r="R3" s="157"/>
      <c r="S3" s="157"/>
      <c r="T3" s="114"/>
      <c r="W3" s="435" t="s">
        <v>493</v>
      </c>
      <c r="Y3" s="435" t="s">
        <v>494</v>
      </c>
      <c r="AA3" s="435" t="s">
        <v>495</v>
      </c>
    </row>
    <row r="4" spans="1:27" ht="24.95" customHeight="1" x14ac:dyDescent="0.25">
      <c r="A4" s="119"/>
      <c r="B4" s="438" t="s">
        <v>496</v>
      </c>
      <c r="C4" s="438"/>
      <c r="D4" s="87"/>
      <c r="E4" s="440" t="s">
        <v>497</v>
      </c>
      <c r="F4" s="440"/>
      <c r="G4" s="440"/>
      <c r="H4" s="440"/>
      <c r="I4" s="440"/>
      <c r="J4" s="440"/>
      <c r="K4" s="440"/>
      <c r="L4" s="172" t="str">
        <f>'Borrowing expenses'!B53</f>
        <v>Claim year</v>
      </c>
      <c r="M4" s="172" t="str">
        <f>'Borrowing expenses'!C53</f>
        <v>Days</v>
      </c>
      <c r="N4" s="172" t="str">
        <f>'Borrowing expenses'!D53</f>
        <v>Amount to claim</v>
      </c>
      <c r="O4" s="118"/>
      <c r="P4" s="118"/>
      <c r="Q4" s="118"/>
      <c r="R4" s="118"/>
      <c r="S4" s="118"/>
      <c r="T4" s="114"/>
      <c r="W4" s="436"/>
      <c r="Y4" s="436"/>
      <c r="AA4" s="436"/>
    </row>
    <row r="5" spans="1:27" ht="21.95" customHeight="1" x14ac:dyDescent="0.25">
      <c r="A5" s="119" t="s">
        <v>498</v>
      </c>
      <c r="B5" s="162" t="s">
        <v>260</v>
      </c>
      <c r="C5" s="163">
        <v>0</v>
      </c>
      <c r="D5" s="83"/>
      <c r="E5" s="118"/>
      <c r="F5" s="118"/>
      <c r="G5" s="118"/>
      <c r="H5" s="118"/>
      <c r="I5" s="118"/>
      <c r="J5" s="118"/>
      <c r="K5" s="118"/>
      <c r="L5" s="186" t="str">
        <f>'Borrowing expenses'!B54</f>
        <v>-</v>
      </c>
      <c r="M5" s="186" t="str">
        <f>'Borrowing expenses'!C54</f>
        <v>0</v>
      </c>
      <c r="N5" s="329">
        <f>'Borrowing expenses'!D54</f>
        <v>0</v>
      </c>
      <c r="O5" s="118"/>
      <c r="P5" s="118"/>
      <c r="Q5" s="118"/>
      <c r="R5" s="118"/>
      <c r="S5" s="118"/>
      <c r="T5" s="120"/>
      <c r="W5" s="337">
        <v>41456</v>
      </c>
      <c r="Y5" s="338" t="s">
        <v>11</v>
      </c>
      <c r="AA5" s="339" t="s">
        <v>11</v>
      </c>
    </row>
    <row r="6" spans="1:27" ht="21.95" customHeight="1" thickBot="1" x14ac:dyDescent="0.3">
      <c r="A6" s="119" t="s">
        <v>499</v>
      </c>
      <c r="B6" s="164" t="s">
        <v>269</v>
      </c>
      <c r="C6" s="165"/>
      <c r="D6" s="84"/>
      <c r="E6" s="118"/>
      <c r="F6" s="118"/>
      <c r="G6" s="118"/>
      <c r="H6" s="118"/>
      <c r="I6" s="118"/>
      <c r="J6" s="118"/>
      <c r="K6" s="118"/>
      <c r="L6" s="186" t="str">
        <f>'Borrowing expenses'!B55</f>
        <v>-</v>
      </c>
      <c r="M6" s="186" t="str">
        <f>'Borrowing expenses'!C55</f>
        <v>0</v>
      </c>
      <c r="N6" s="329">
        <f>'Borrowing expenses'!D55</f>
        <v>0</v>
      </c>
      <c r="O6" s="118"/>
      <c r="P6" s="118"/>
      <c r="Q6" s="118"/>
      <c r="R6" s="118"/>
      <c r="S6" s="118"/>
      <c r="T6" s="114"/>
      <c r="W6" s="340">
        <f ca="1">TODAY()</f>
        <v>46132</v>
      </c>
      <c r="Y6" s="341">
        <v>1</v>
      </c>
      <c r="AA6" s="342" t="s">
        <v>295</v>
      </c>
    </row>
    <row r="7" spans="1:27" ht="21.95" customHeight="1" thickBot="1" x14ac:dyDescent="0.3">
      <c r="A7" s="119" t="s">
        <v>500</v>
      </c>
      <c r="B7" s="164" t="s">
        <v>277</v>
      </c>
      <c r="C7" s="166" t="s">
        <v>11</v>
      </c>
      <c r="D7" s="84"/>
      <c r="E7" s="118"/>
      <c r="F7" s="118"/>
      <c r="G7" s="118"/>
      <c r="H7" s="118"/>
      <c r="I7" s="118"/>
      <c r="J7" s="118"/>
      <c r="K7" s="118"/>
      <c r="L7" s="186" t="str">
        <f>'Borrowing expenses'!B56</f>
        <v>-</v>
      </c>
      <c r="M7" s="186" t="str">
        <f>'Borrowing expenses'!C56</f>
        <v>0</v>
      </c>
      <c r="N7" s="329">
        <f>'Borrowing expenses'!D56</f>
        <v>0</v>
      </c>
      <c r="O7" s="118"/>
      <c r="P7" s="118"/>
      <c r="Q7" s="118"/>
      <c r="R7" s="118"/>
      <c r="S7" s="118"/>
      <c r="T7" s="114"/>
      <c r="Y7" s="341">
        <v>2</v>
      </c>
      <c r="AA7" s="343" t="s">
        <v>296</v>
      </c>
    </row>
    <row r="8" spans="1:27" ht="21.95" customHeight="1" x14ac:dyDescent="0.25">
      <c r="A8" s="119" t="s">
        <v>501</v>
      </c>
      <c r="B8" s="167" t="s">
        <v>502</v>
      </c>
      <c r="C8" s="168" t="s">
        <v>11</v>
      </c>
      <c r="D8" s="85"/>
      <c r="E8" s="118"/>
      <c r="F8" s="118"/>
      <c r="G8" s="118"/>
      <c r="H8" s="118"/>
      <c r="I8" s="118"/>
      <c r="J8" s="118"/>
      <c r="K8" s="118"/>
      <c r="L8" s="186" t="str">
        <f>'Borrowing expenses'!B57</f>
        <v>-</v>
      </c>
      <c r="M8" s="186" t="str">
        <f>'Borrowing expenses'!C57</f>
        <v>0</v>
      </c>
      <c r="N8" s="329">
        <f>'Borrowing expenses'!D57</f>
        <v>0</v>
      </c>
      <c r="O8" s="118"/>
      <c r="P8" s="118"/>
      <c r="Q8" s="118"/>
      <c r="R8" s="118"/>
      <c r="S8" s="118"/>
      <c r="T8" s="114"/>
      <c r="Y8" s="341">
        <v>3</v>
      </c>
    </row>
    <row r="9" spans="1:27" ht="21.95" customHeight="1" thickBot="1" x14ac:dyDescent="0.3">
      <c r="A9" s="119" t="s">
        <v>503</v>
      </c>
      <c r="B9" s="169" t="s">
        <v>504</v>
      </c>
      <c r="C9" s="170">
        <v>0</v>
      </c>
      <c r="D9" s="84"/>
      <c r="E9" s="118"/>
      <c r="F9" s="118"/>
      <c r="G9" s="118"/>
      <c r="H9" s="118"/>
      <c r="I9" s="118"/>
      <c r="J9" s="118"/>
      <c r="K9" s="118"/>
      <c r="L9" s="186" t="str">
        <f>'Borrowing expenses'!B58</f>
        <v>-</v>
      </c>
      <c r="M9" s="186" t="str">
        <f>'Borrowing expenses'!C58</f>
        <v>0</v>
      </c>
      <c r="N9" s="329">
        <f>'Borrowing expenses'!D58</f>
        <v>0</v>
      </c>
      <c r="O9" s="118"/>
      <c r="P9" s="118"/>
      <c r="Q9" s="118"/>
      <c r="R9" s="118"/>
      <c r="S9" s="118"/>
      <c r="T9" s="114"/>
      <c r="Y9" s="341">
        <v>4</v>
      </c>
    </row>
    <row r="10" spans="1:27" ht="27.95" customHeight="1" thickBot="1" x14ac:dyDescent="0.3">
      <c r="A10" s="119" t="s">
        <v>505</v>
      </c>
      <c r="B10" s="158" t="s">
        <v>506</v>
      </c>
      <c r="C10" s="159">
        <f>C5-C9</f>
        <v>0</v>
      </c>
      <c r="D10" s="86"/>
      <c r="E10" s="118"/>
      <c r="F10" s="118"/>
      <c r="G10" s="118"/>
      <c r="H10" s="118"/>
      <c r="I10" s="118"/>
      <c r="J10" s="118"/>
      <c r="K10" s="118"/>
      <c r="L10" s="186" t="str">
        <f>'Borrowing expenses'!B59</f>
        <v>-</v>
      </c>
      <c r="M10" s="186" t="str">
        <f>'Borrowing expenses'!C59</f>
        <v>0</v>
      </c>
      <c r="N10" s="329">
        <f>'Borrowing expenses'!D59</f>
        <v>0</v>
      </c>
      <c r="O10" s="118"/>
      <c r="P10" s="118"/>
      <c r="Q10" s="118"/>
      <c r="R10" s="118"/>
      <c r="S10" s="118"/>
      <c r="T10" s="114"/>
      <c r="Y10" s="341">
        <v>5</v>
      </c>
    </row>
    <row r="11" spans="1:27" ht="21.95" customHeight="1" thickBot="1" x14ac:dyDescent="0.3">
      <c r="A11" s="119"/>
      <c r="B11" s="92"/>
      <c r="C11" s="93"/>
      <c r="D11" s="86"/>
      <c r="E11" s="121"/>
      <c r="F11" s="118"/>
      <c r="G11" s="118"/>
      <c r="H11" s="118"/>
      <c r="I11" s="118"/>
      <c r="J11" s="118"/>
      <c r="K11" s="118"/>
      <c r="L11" s="122"/>
      <c r="M11" s="123">
        <f>SUM(M5:M10)</f>
        <v>0</v>
      </c>
      <c r="N11" s="330">
        <f>'Borrowing expenses'!D60</f>
        <v>0</v>
      </c>
      <c r="O11" s="118"/>
      <c r="P11" s="118"/>
      <c r="Q11" s="118"/>
      <c r="R11" s="118"/>
      <c r="S11" s="118"/>
      <c r="T11" s="114"/>
      <c r="Y11" s="341">
        <v>6</v>
      </c>
    </row>
    <row r="12" spans="1:27" ht="21.95" customHeight="1" x14ac:dyDescent="0.25">
      <c r="A12" s="119"/>
      <c r="B12" s="439" t="s">
        <v>507</v>
      </c>
      <c r="C12" s="439"/>
      <c r="D12" s="87"/>
      <c r="E12" s="441" t="s">
        <v>508</v>
      </c>
      <c r="F12" s="441"/>
      <c r="G12" s="441"/>
      <c r="H12" s="441"/>
      <c r="I12" s="441"/>
      <c r="J12" s="441"/>
      <c r="K12" s="441"/>
      <c r="L12" s="441"/>
      <c r="M12" s="441"/>
      <c r="N12" s="441"/>
      <c r="O12" s="441"/>
      <c r="P12" s="441"/>
      <c r="Q12" s="441"/>
      <c r="R12" s="441"/>
      <c r="S12" s="441"/>
      <c r="T12" s="114"/>
      <c r="Y12" s="341">
        <v>7</v>
      </c>
    </row>
    <row r="13" spans="1:27" ht="27.95" customHeight="1" x14ac:dyDescent="0.25">
      <c r="A13" s="119" t="s">
        <v>509</v>
      </c>
      <c r="B13" s="167" t="s">
        <v>336</v>
      </c>
      <c r="C13" s="163">
        <v>0</v>
      </c>
      <c r="D13" s="88"/>
      <c r="E13" s="164" t="s">
        <v>510</v>
      </c>
      <c r="F13" s="173">
        <f>C6</f>
        <v>0</v>
      </c>
      <c r="G13" s="174"/>
      <c r="H13" s="164" t="s">
        <v>511</v>
      </c>
      <c r="I13" s="318">
        <f>C21</f>
        <v>0</v>
      </c>
      <c r="J13" s="175"/>
      <c r="K13" s="433" t="s">
        <v>512</v>
      </c>
      <c r="L13" s="434"/>
      <c r="M13" s="177">
        <f>IF(MONTH(F13)&lt;=6,YEAR(F13),YEAR(F13)+1)</f>
        <v>1900</v>
      </c>
      <c r="N13" s="178"/>
      <c r="O13" s="433" t="s">
        <v>494</v>
      </c>
      <c r="P13" s="433"/>
      <c r="Q13" s="433"/>
      <c r="R13" s="176" t="str">
        <f>C7</f>
        <v>- Select -</v>
      </c>
      <c r="S13" s="124"/>
      <c r="T13" s="114"/>
      <c r="Y13" s="341">
        <v>8</v>
      </c>
    </row>
    <row r="14" spans="1:27" ht="26.45" customHeight="1" thickBot="1" x14ac:dyDescent="0.3">
      <c r="A14" s="119" t="s">
        <v>513</v>
      </c>
      <c r="B14" s="167" t="s">
        <v>514</v>
      </c>
      <c r="C14" s="163">
        <v>0</v>
      </c>
      <c r="D14" s="85"/>
      <c r="E14" s="118"/>
      <c r="F14" s="118"/>
      <c r="G14" s="126"/>
      <c r="H14" s="118"/>
      <c r="I14" s="118"/>
      <c r="J14" s="124"/>
      <c r="K14" s="124"/>
      <c r="L14" s="206" t="s">
        <v>515</v>
      </c>
      <c r="M14" s="206"/>
      <c r="N14" s="206"/>
      <c r="O14" s="125"/>
      <c r="P14" s="125"/>
      <c r="Q14" s="125"/>
      <c r="R14" s="125"/>
      <c r="S14" s="125"/>
      <c r="T14" s="114"/>
      <c r="Y14" s="341">
        <v>9</v>
      </c>
    </row>
    <row r="15" spans="1:27" ht="30.6" customHeight="1" x14ac:dyDescent="0.25">
      <c r="A15" s="119" t="s">
        <v>516</v>
      </c>
      <c r="B15" s="167" t="s">
        <v>517</v>
      </c>
      <c r="C15" s="163">
        <v>0</v>
      </c>
      <c r="D15" s="88"/>
      <c r="E15" s="118"/>
      <c r="F15" s="118"/>
      <c r="G15" s="126"/>
      <c r="H15" s="118"/>
      <c r="I15" s="118"/>
      <c r="J15" s="124"/>
      <c r="K15" s="124"/>
      <c r="L15" s="172" t="s">
        <v>457</v>
      </c>
      <c r="M15" s="172" t="s">
        <v>463</v>
      </c>
      <c r="N15" s="172" t="s">
        <v>464</v>
      </c>
      <c r="O15" s="118"/>
      <c r="P15" s="118"/>
      <c r="Q15" s="118"/>
      <c r="R15" s="127"/>
      <c r="S15" s="118"/>
      <c r="T15" s="114"/>
      <c r="Y15" s="341">
        <v>10</v>
      </c>
    </row>
    <row r="16" spans="1:27" ht="21.95" customHeight="1" x14ac:dyDescent="0.25">
      <c r="A16" s="119" t="s">
        <v>518</v>
      </c>
      <c r="B16" s="167" t="s">
        <v>519</v>
      </c>
      <c r="C16" s="163">
        <v>0</v>
      </c>
      <c r="D16" s="88"/>
      <c r="E16" s="118"/>
      <c r="F16" s="118"/>
      <c r="G16" s="126"/>
      <c r="H16" s="118"/>
      <c r="I16" s="118"/>
      <c r="J16" s="124"/>
      <c r="K16" s="124"/>
      <c r="L16" s="186" t="str">
        <f>+L80</f>
        <v>2013-14</v>
      </c>
      <c r="M16" s="186">
        <f>+M80</f>
        <v>183</v>
      </c>
      <c r="N16" s="329">
        <f>+N80</f>
        <v>0</v>
      </c>
      <c r="O16" s="118"/>
      <c r="P16" s="118"/>
      <c r="Q16" s="118"/>
      <c r="R16" s="127"/>
      <c r="S16" s="118"/>
      <c r="T16" s="114"/>
      <c r="Y16" s="341">
        <v>11</v>
      </c>
    </row>
    <row r="17" spans="1:25" ht="26.45" customHeight="1" x14ac:dyDescent="0.25">
      <c r="A17" s="119" t="s">
        <v>520</v>
      </c>
      <c r="B17" s="167" t="s">
        <v>521</v>
      </c>
      <c r="C17" s="163">
        <v>0</v>
      </c>
      <c r="D17" s="85"/>
      <c r="E17" s="118"/>
      <c r="F17" s="118"/>
      <c r="G17" s="118"/>
      <c r="H17" s="118"/>
      <c r="I17" s="118"/>
      <c r="J17" s="124"/>
      <c r="K17" s="124"/>
      <c r="L17" s="186" t="str">
        <f t="shared" ref="L17:N21" si="0">+L81</f>
        <v>2014-15</v>
      </c>
      <c r="M17" s="186">
        <f t="shared" si="0"/>
        <v>365</v>
      </c>
      <c r="N17" s="329">
        <f t="shared" si="0"/>
        <v>0</v>
      </c>
      <c r="O17" s="118"/>
      <c r="P17" s="118"/>
      <c r="Q17" s="118"/>
      <c r="R17" s="127"/>
      <c r="S17" s="118"/>
      <c r="T17" s="114"/>
      <c r="Y17" s="341">
        <v>12</v>
      </c>
    </row>
    <row r="18" spans="1:25" ht="21.95" customHeight="1" x14ac:dyDescent="0.25">
      <c r="A18" s="119" t="s">
        <v>522</v>
      </c>
      <c r="B18" s="167" t="s">
        <v>369</v>
      </c>
      <c r="C18" s="163">
        <v>0</v>
      </c>
      <c r="D18" s="85"/>
      <c r="E18" s="182" t="s">
        <v>523</v>
      </c>
      <c r="F18" s="183"/>
      <c r="G18" s="184">
        <f>DAY(C6)</f>
        <v>0</v>
      </c>
      <c r="H18" s="184">
        <f>MONTH(C6)</f>
        <v>1</v>
      </c>
      <c r="I18" s="184">
        <f>YEAR(C6)</f>
        <v>1900</v>
      </c>
      <c r="J18" s="182">
        <f>DATE(I18,H18,G18)</f>
        <v>0</v>
      </c>
      <c r="K18" s="124"/>
      <c r="L18" s="186" t="str">
        <f t="shared" si="0"/>
        <v>2015-16</v>
      </c>
      <c r="M18" s="186">
        <f t="shared" si="0"/>
        <v>365</v>
      </c>
      <c r="N18" s="329">
        <f t="shared" si="0"/>
        <v>0</v>
      </c>
      <c r="O18" s="118"/>
      <c r="P18" s="118"/>
      <c r="Q18" s="118"/>
      <c r="R18" s="127"/>
      <c r="S18" s="118"/>
      <c r="T18" s="114"/>
      <c r="Y18" s="341">
        <v>13</v>
      </c>
    </row>
    <row r="19" spans="1:25" ht="21.95" customHeight="1" x14ac:dyDescent="0.25">
      <c r="A19" s="119" t="s">
        <v>524</v>
      </c>
      <c r="B19" s="167" t="s">
        <v>375</v>
      </c>
      <c r="C19" s="163">
        <v>0</v>
      </c>
      <c r="D19" s="85"/>
      <c r="E19" s="183" t="s">
        <v>525</v>
      </c>
      <c r="F19" s="183"/>
      <c r="G19" s="185"/>
      <c r="H19" s="183"/>
      <c r="I19" s="183"/>
      <c r="J19" s="182">
        <f>DATE(I18+IF(C7&lt;5,C7,5),H18,G18-1)</f>
        <v>1826</v>
      </c>
      <c r="K19" s="124"/>
      <c r="L19" s="186" t="str">
        <f t="shared" si="0"/>
        <v>2016-17</v>
      </c>
      <c r="M19" s="186">
        <f t="shared" si="0"/>
        <v>365</v>
      </c>
      <c r="N19" s="329">
        <f t="shared" si="0"/>
        <v>0</v>
      </c>
      <c r="O19" s="118"/>
      <c r="P19" s="118"/>
      <c r="Q19" s="118"/>
      <c r="R19" s="127"/>
      <c r="S19" s="118"/>
      <c r="T19" s="114"/>
      <c r="Y19" s="341">
        <v>14</v>
      </c>
    </row>
    <row r="20" spans="1:25" ht="29.45" customHeight="1" thickBot="1" x14ac:dyDescent="0.3">
      <c r="A20" s="119" t="s">
        <v>526</v>
      </c>
      <c r="B20" s="152" t="s">
        <v>527</v>
      </c>
      <c r="C20" s="171">
        <f>SUM(C13:C19)</f>
        <v>0</v>
      </c>
      <c r="D20" s="89"/>
      <c r="E20" s="182" t="s">
        <v>528</v>
      </c>
      <c r="F20" s="183"/>
      <c r="G20" s="185"/>
      <c r="H20" s="183"/>
      <c r="I20" s="183"/>
      <c r="J20" s="184">
        <f>J19-J18+1</f>
        <v>1827</v>
      </c>
      <c r="K20" s="124"/>
      <c r="L20" s="186" t="str">
        <f t="shared" si="0"/>
        <v>2017-18</v>
      </c>
      <c r="M20" s="186">
        <f t="shared" si="0"/>
        <v>366</v>
      </c>
      <c r="N20" s="329">
        <f t="shared" si="0"/>
        <v>0</v>
      </c>
      <c r="O20" s="118"/>
      <c r="P20" s="118"/>
      <c r="Q20" s="118"/>
      <c r="R20" s="127"/>
      <c r="S20" s="118"/>
      <c r="T20" s="114"/>
      <c r="Y20" s="341">
        <v>15</v>
      </c>
    </row>
    <row r="21" spans="1:25" ht="28.5" customHeight="1" thickBot="1" x14ac:dyDescent="0.3">
      <c r="A21" s="119" t="s">
        <v>526</v>
      </c>
      <c r="B21" s="160" t="s">
        <v>529</v>
      </c>
      <c r="C21" s="161">
        <f>ROUND(IF(C5=0,0,C20*C10/C5),2)</f>
        <v>0</v>
      </c>
      <c r="D21" s="114"/>
      <c r="E21" s="118"/>
      <c r="F21" s="179"/>
      <c r="G21" s="180"/>
      <c r="H21" s="179"/>
      <c r="I21" s="179"/>
      <c r="J21" s="181"/>
      <c r="K21" s="124"/>
      <c r="L21" s="186" t="str">
        <f t="shared" si="0"/>
        <v>2018-19</v>
      </c>
      <c r="M21" s="186">
        <f t="shared" si="0"/>
        <v>183</v>
      </c>
      <c r="N21" s="329">
        <f t="shared" si="0"/>
        <v>0</v>
      </c>
      <c r="O21" s="118"/>
      <c r="P21" s="118"/>
      <c r="Q21" s="118"/>
      <c r="R21" s="127"/>
      <c r="S21" s="118"/>
      <c r="T21" s="114"/>
      <c r="Y21" s="341">
        <v>16</v>
      </c>
    </row>
    <row r="22" spans="1:25" ht="15.75" thickBot="1" x14ac:dyDescent="0.3">
      <c r="A22" s="114"/>
      <c r="B22" s="114"/>
      <c r="C22" s="114"/>
      <c r="D22" s="114"/>
      <c r="E22" s="118"/>
      <c r="F22" s="118"/>
      <c r="G22" s="118"/>
      <c r="H22" s="118"/>
      <c r="I22" s="118"/>
      <c r="J22" s="124"/>
      <c r="K22" s="124"/>
      <c r="L22" s="122"/>
      <c r="M22" s="123">
        <f>SUM(M16:M21)</f>
        <v>1827</v>
      </c>
      <c r="N22" s="187">
        <f>SUM(N16:N21)</f>
        <v>0</v>
      </c>
      <c r="O22" s="118"/>
      <c r="P22" s="118"/>
      <c r="Q22" s="118"/>
      <c r="R22" s="127"/>
      <c r="S22" s="118"/>
      <c r="T22" s="114"/>
      <c r="Y22" s="341">
        <v>17</v>
      </c>
    </row>
    <row r="23" spans="1:25" x14ac:dyDescent="0.25">
      <c r="A23" s="128"/>
      <c r="B23" s="128"/>
      <c r="C23" s="128"/>
      <c r="D23" s="114"/>
      <c r="E23" s="188"/>
      <c r="F23" s="188"/>
      <c r="G23" s="188"/>
      <c r="H23" s="188"/>
      <c r="I23" s="188"/>
      <c r="J23" s="189"/>
      <c r="K23" s="189"/>
      <c r="L23" s="189"/>
      <c r="M23" s="190"/>
      <c r="N23" s="189"/>
      <c r="O23" s="189"/>
      <c r="P23" s="189"/>
      <c r="Q23" s="189"/>
      <c r="R23" s="188"/>
      <c r="S23" s="188"/>
      <c r="T23" s="114"/>
      <c r="Y23" s="341">
        <v>18</v>
      </c>
    </row>
    <row r="24" spans="1:25" x14ac:dyDescent="0.25">
      <c r="A24" s="128"/>
      <c r="B24" s="128"/>
      <c r="C24" s="128"/>
      <c r="D24" s="114"/>
      <c r="E24" s="118"/>
      <c r="F24" s="118"/>
      <c r="G24" s="118"/>
      <c r="H24" s="118"/>
      <c r="I24" s="118"/>
      <c r="J24" s="129" t="s">
        <v>530</v>
      </c>
      <c r="K24" s="130"/>
      <c r="L24" s="130"/>
      <c r="M24" s="130"/>
      <c r="N24" s="130"/>
      <c r="O24" s="130"/>
      <c r="P24" s="130"/>
      <c r="Q24" s="130"/>
      <c r="R24" s="118"/>
      <c r="S24" s="118"/>
      <c r="T24" s="114"/>
      <c r="Y24" s="341">
        <v>19</v>
      </c>
    </row>
    <row r="25" spans="1:25" ht="39" customHeight="1" x14ac:dyDescent="0.25">
      <c r="A25" s="128"/>
      <c r="B25" s="128"/>
      <c r="C25" s="128"/>
      <c r="D25" s="114"/>
      <c r="E25" s="118"/>
      <c r="F25" s="118"/>
      <c r="G25" s="118"/>
      <c r="H25" s="118"/>
      <c r="I25" s="118"/>
      <c r="J25" s="193" t="s">
        <v>445</v>
      </c>
      <c r="K25" s="193" t="s">
        <v>446</v>
      </c>
      <c r="L25" s="193" t="s">
        <v>447</v>
      </c>
      <c r="M25" s="193" t="s">
        <v>448</v>
      </c>
      <c r="N25" s="193" t="s">
        <v>531</v>
      </c>
      <c r="O25" s="193" t="s">
        <v>532</v>
      </c>
      <c r="P25" s="193"/>
      <c r="Q25" s="432" t="s">
        <v>533</v>
      </c>
      <c r="R25" s="432"/>
      <c r="S25" s="432"/>
      <c r="T25" s="114"/>
      <c r="Y25" s="341">
        <v>20</v>
      </c>
    </row>
    <row r="26" spans="1:25" x14ac:dyDescent="0.25">
      <c r="A26" s="128"/>
      <c r="B26" s="128"/>
      <c r="C26" s="128"/>
      <c r="D26" s="114"/>
      <c r="E26" s="118"/>
      <c r="F26" s="118"/>
      <c r="G26" s="118"/>
      <c r="H26" s="118"/>
      <c r="I26" s="118"/>
      <c r="J26" s="194">
        <f>DATE($M$13-1,7,1)</f>
        <v>693779</v>
      </c>
      <c r="K26" s="194">
        <f>DATE($M$13,6,30)</f>
        <v>182</v>
      </c>
      <c r="L26" s="195">
        <f>K26-J26+1</f>
        <v>-693596</v>
      </c>
      <c r="M26" s="196">
        <f>DATE(YEAR($F$13)+(MONTH($F$13)&gt;6)*1,6,30)-($F$13-1)</f>
        <v>183</v>
      </c>
      <c r="N26" s="319">
        <f t="shared" ref="N26:N31" si="1">ROUND($I$13*M26/((DATE(YEAR($F$13)+5,MONTH($F$13),DAY($F$13)))-$F$13),2)</f>
        <v>0</v>
      </c>
      <c r="O26" s="320">
        <f>IF(M26=0,N26,IF($C$21&gt;SUM($N$26:$N$31),N26+$C$21-N32,N26))</f>
        <v>0</v>
      </c>
      <c r="P26" s="127"/>
      <c r="Q26" s="204">
        <f>$N$32/$M$32</f>
        <v>0</v>
      </c>
      <c r="R26" s="205">
        <f>M26</f>
        <v>183</v>
      </c>
      <c r="S26" s="331">
        <f>Q26*R26</f>
        <v>0</v>
      </c>
      <c r="T26" s="114"/>
      <c r="Y26" s="341">
        <v>21</v>
      </c>
    </row>
    <row r="27" spans="1:25" x14ac:dyDescent="0.25">
      <c r="A27" s="128"/>
      <c r="B27" s="128"/>
      <c r="C27" s="128"/>
      <c r="D27" s="114"/>
      <c r="E27" s="118"/>
      <c r="F27" s="118"/>
      <c r="G27" s="118"/>
      <c r="H27" s="118"/>
      <c r="I27" s="118"/>
      <c r="J27" s="194">
        <f>DATE($M$13,7,1)</f>
        <v>183</v>
      </c>
      <c r="K27" s="194">
        <f>DATE($M$13+1,6,30)</f>
        <v>547</v>
      </c>
      <c r="L27" s="195">
        <f t="shared" ref="L27:L31" si="2">K27-J27+1</f>
        <v>365</v>
      </c>
      <c r="M27" s="196">
        <f>DATE(YEAR(K27)+(MONTH(K27)&gt;6)*1,6,30)-K26</f>
        <v>365</v>
      </c>
      <c r="N27" s="319">
        <f t="shared" si="1"/>
        <v>0</v>
      </c>
      <c r="O27" s="321">
        <f>N27</f>
        <v>0</v>
      </c>
      <c r="P27" s="127"/>
      <c r="Q27" s="204">
        <f t="shared" ref="Q27:Q31" si="3">$N$32/$M$32</f>
        <v>0</v>
      </c>
      <c r="R27" s="205">
        <f t="shared" ref="R27:R31" si="4">M27</f>
        <v>365</v>
      </c>
      <c r="S27" s="331">
        <f t="shared" ref="S27:S31" si="5">Q27*R27</f>
        <v>0</v>
      </c>
      <c r="T27" s="114"/>
      <c r="Y27" s="341">
        <v>22</v>
      </c>
    </row>
    <row r="28" spans="1:25" x14ac:dyDescent="0.25">
      <c r="A28" s="128"/>
      <c r="B28" s="128"/>
      <c r="C28" s="128"/>
      <c r="D28" s="114"/>
      <c r="E28" s="118"/>
      <c r="F28" s="118"/>
      <c r="G28" s="118"/>
      <c r="H28" s="118"/>
      <c r="I28" s="118"/>
      <c r="J28" s="194">
        <f>DATE($M$13+1,7,1)</f>
        <v>548</v>
      </c>
      <c r="K28" s="194">
        <f>DATE($M$13+2,6,30)</f>
        <v>912</v>
      </c>
      <c r="L28" s="195">
        <f t="shared" si="2"/>
        <v>365</v>
      </c>
      <c r="M28" s="196">
        <f>DATE(YEAR(K28)+(MONTH(K28)&gt;6)*1,6,30)-K27</f>
        <v>365</v>
      </c>
      <c r="N28" s="319">
        <f t="shared" si="1"/>
        <v>0</v>
      </c>
      <c r="O28" s="321">
        <f t="shared" ref="O28:O29" si="6">N28</f>
        <v>0</v>
      </c>
      <c r="P28" s="127"/>
      <c r="Q28" s="204">
        <f t="shared" si="3"/>
        <v>0</v>
      </c>
      <c r="R28" s="205">
        <f t="shared" si="4"/>
        <v>365</v>
      </c>
      <c r="S28" s="331">
        <f t="shared" si="5"/>
        <v>0</v>
      </c>
      <c r="T28" s="114"/>
      <c r="Y28" s="341">
        <v>23</v>
      </c>
    </row>
    <row r="29" spans="1:25" x14ac:dyDescent="0.25">
      <c r="A29" s="128"/>
      <c r="B29" s="128"/>
      <c r="C29" s="128"/>
      <c r="D29" s="114"/>
      <c r="E29" s="118"/>
      <c r="F29" s="118"/>
      <c r="G29" s="118"/>
      <c r="H29" s="118"/>
      <c r="I29" s="118"/>
      <c r="J29" s="194">
        <f>DATE($M$13+2,7,1)</f>
        <v>913</v>
      </c>
      <c r="K29" s="194">
        <f>DATE($M$13+3,6,30)</f>
        <v>1277</v>
      </c>
      <c r="L29" s="195">
        <f t="shared" si="2"/>
        <v>365</v>
      </c>
      <c r="M29" s="196">
        <f>DATE(YEAR(K29)+(MONTH(K29)&gt;6)*1,6,30)-K28</f>
        <v>365</v>
      </c>
      <c r="N29" s="319">
        <f t="shared" si="1"/>
        <v>0</v>
      </c>
      <c r="O29" s="322">
        <f t="shared" si="6"/>
        <v>0</v>
      </c>
      <c r="P29" s="127"/>
      <c r="Q29" s="204">
        <f t="shared" si="3"/>
        <v>0</v>
      </c>
      <c r="R29" s="205">
        <f t="shared" si="4"/>
        <v>365</v>
      </c>
      <c r="S29" s="331">
        <f t="shared" si="5"/>
        <v>0</v>
      </c>
      <c r="T29" s="114"/>
      <c r="Y29" s="341">
        <v>24</v>
      </c>
    </row>
    <row r="30" spans="1:25" x14ac:dyDescent="0.25">
      <c r="A30" s="128"/>
      <c r="B30" s="128"/>
      <c r="C30" s="128"/>
      <c r="D30" s="114"/>
      <c r="E30" s="118"/>
      <c r="F30" s="118"/>
      <c r="G30" s="118"/>
      <c r="H30" s="118"/>
      <c r="I30" s="118"/>
      <c r="J30" s="194">
        <f>DATE($M$13+3,7,1)</f>
        <v>1278</v>
      </c>
      <c r="K30" s="194">
        <f>DATE($M$13+4,6,30)</f>
        <v>1643</v>
      </c>
      <c r="L30" s="195">
        <f t="shared" si="2"/>
        <v>366</v>
      </c>
      <c r="M30" s="196">
        <f>DATE(YEAR(K30)+(MONTH(K30)&gt;6)*1,6,30)-K29</f>
        <v>366</v>
      </c>
      <c r="N30" s="319">
        <f t="shared" si="1"/>
        <v>0</v>
      </c>
      <c r="O30" s="321">
        <f>IF(AND(M31=0,SUM(N26:N31)&gt;$C$21),N30-(N32-$C$21),IF(AND(M31&lt;&gt;0,$C$21&lt;N32),N30,IF($C$21&lt;SUM(N26:N31),N30-(N32-$C$21),N30)))</f>
        <v>0</v>
      </c>
      <c r="P30" s="127"/>
      <c r="Q30" s="204">
        <f t="shared" si="3"/>
        <v>0</v>
      </c>
      <c r="R30" s="205">
        <f t="shared" si="4"/>
        <v>366</v>
      </c>
      <c r="S30" s="331">
        <f t="shared" si="5"/>
        <v>0</v>
      </c>
      <c r="T30" s="114"/>
      <c r="Y30" s="341">
        <v>25</v>
      </c>
    </row>
    <row r="31" spans="1:25" x14ac:dyDescent="0.25">
      <c r="A31" s="128"/>
      <c r="B31" s="128"/>
      <c r="C31" s="128"/>
      <c r="D31" s="114"/>
      <c r="E31" s="118"/>
      <c r="F31" s="118"/>
      <c r="G31" s="118"/>
      <c r="H31" s="118"/>
      <c r="I31" s="118"/>
      <c r="J31" s="194">
        <f>DATE($M$13+4,7,1)</f>
        <v>1644</v>
      </c>
      <c r="K31" s="194">
        <f>DATE($M$13+5,6,30)</f>
        <v>2008</v>
      </c>
      <c r="L31" s="195">
        <f t="shared" si="2"/>
        <v>365</v>
      </c>
      <c r="M31" s="196">
        <f>((DATE(YEAR($F$13)+5,MONTH($F$13),DAY($F$13)))-$F$13)-SUM($M$26:$M$30)</f>
        <v>183</v>
      </c>
      <c r="N31" s="319">
        <f t="shared" si="1"/>
        <v>0</v>
      </c>
      <c r="O31" s="323">
        <f>IF(M31=0,N31,IF($C$21&lt;SUM($N$26:$N$31),N31-($N$32-$C$21),N31))</f>
        <v>0</v>
      </c>
      <c r="P31" s="127"/>
      <c r="Q31" s="204">
        <f t="shared" si="3"/>
        <v>0</v>
      </c>
      <c r="R31" s="205">
        <f t="shared" si="4"/>
        <v>183</v>
      </c>
      <c r="S31" s="331">
        <f t="shared" si="5"/>
        <v>0</v>
      </c>
      <c r="T31" s="114"/>
      <c r="Y31" s="341">
        <v>26</v>
      </c>
    </row>
    <row r="32" spans="1:25" x14ac:dyDescent="0.25">
      <c r="A32" s="128"/>
      <c r="B32" s="128"/>
      <c r="C32" s="128"/>
      <c r="D32" s="114"/>
      <c r="E32" s="118"/>
      <c r="F32" s="118"/>
      <c r="G32" s="118"/>
      <c r="H32" s="118"/>
      <c r="I32" s="118"/>
      <c r="J32" s="192"/>
      <c r="K32" s="197" t="s">
        <v>451</v>
      </c>
      <c r="L32" s="197"/>
      <c r="M32" s="198">
        <f>SUM(M26:M31)</f>
        <v>1827</v>
      </c>
      <c r="N32" s="324">
        <f>SUM(N26:N31)</f>
        <v>0</v>
      </c>
      <c r="O32" s="324">
        <f>SUM(O26:O31)</f>
        <v>0</v>
      </c>
      <c r="P32" s="127"/>
      <c r="Q32" s="118"/>
      <c r="R32" s="118"/>
      <c r="S32" s="324">
        <f>SUM(S26:S31)</f>
        <v>0</v>
      </c>
      <c r="T32" s="114"/>
      <c r="Y32" s="341">
        <v>27</v>
      </c>
    </row>
    <row r="33" spans="1:25" x14ac:dyDescent="0.25">
      <c r="A33" s="128"/>
      <c r="B33" s="128"/>
      <c r="C33" s="128"/>
      <c r="D33" s="114"/>
      <c r="E33" s="118"/>
      <c r="F33" s="118"/>
      <c r="G33" s="118"/>
      <c r="H33" s="118"/>
      <c r="I33" s="118"/>
      <c r="J33" s="131" t="s">
        <v>534</v>
      </c>
      <c r="K33" s="118"/>
      <c r="L33" s="118"/>
      <c r="M33" s="131"/>
      <c r="N33" s="118"/>
      <c r="O33" s="127"/>
      <c r="P33" s="127"/>
      <c r="Q33" s="118"/>
      <c r="R33" s="118"/>
      <c r="S33" s="118"/>
      <c r="T33" s="114"/>
      <c r="Y33" s="341">
        <v>28</v>
      </c>
    </row>
    <row r="34" spans="1:25" ht="25.5" x14ac:dyDescent="0.25">
      <c r="A34" s="128"/>
      <c r="B34" s="128"/>
      <c r="C34" s="128"/>
      <c r="D34" s="114"/>
      <c r="E34" s="118"/>
      <c r="F34" s="118"/>
      <c r="G34" s="118"/>
      <c r="H34" s="118"/>
      <c r="I34" s="118"/>
      <c r="J34" s="193" t="s">
        <v>445</v>
      </c>
      <c r="K34" s="193" t="s">
        <v>446</v>
      </c>
      <c r="L34" s="193" t="s">
        <v>447</v>
      </c>
      <c r="M34" s="193" t="s">
        <v>448</v>
      </c>
      <c r="N34" s="193" t="s">
        <v>531</v>
      </c>
      <c r="O34" s="193" t="s">
        <v>532</v>
      </c>
      <c r="P34" s="127"/>
      <c r="Q34" s="432" t="s">
        <v>533</v>
      </c>
      <c r="R34" s="432"/>
      <c r="S34" s="432"/>
      <c r="T34" s="114"/>
      <c r="Y34" s="341">
        <v>29</v>
      </c>
    </row>
    <row r="35" spans="1:25" x14ac:dyDescent="0.25">
      <c r="A35" s="128"/>
      <c r="B35" s="128"/>
      <c r="C35" s="128"/>
      <c r="D35" s="114"/>
      <c r="E35" s="118"/>
      <c r="F35" s="118"/>
      <c r="G35" s="118"/>
      <c r="H35" s="118"/>
      <c r="I35" s="118"/>
      <c r="J35" s="199">
        <f>DATE($M$13-1,7,1)</f>
        <v>693779</v>
      </c>
      <c r="K35" s="199">
        <f>DATE($M$13,6,30)</f>
        <v>182</v>
      </c>
      <c r="L35" s="186">
        <f>K35-J35+1</f>
        <v>-693596</v>
      </c>
      <c r="M35" s="200">
        <f>DATE(YEAR($F$13)+(MONTH($F$13)&gt;6)*1,6,30)-($F$13-1)</f>
        <v>183</v>
      </c>
      <c r="N35" s="321">
        <f>ROUND($I$13*M35/((DATE(YEAR($F$13)+4,MONTH($F$13),DAY($F$13)))-$F$13),2)</f>
        <v>0</v>
      </c>
      <c r="O35" s="321">
        <f>IF(M35=0,N35,IF($C$21&gt;SUM($N$35:$N$40),N35+$C$21-N41,N35))</f>
        <v>0</v>
      </c>
      <c r="P35" s="127"/>
      <c r="Q35" s="204">
        <f>$N$41/$M$41</f>
        <v>0</v>
      </c>
      <c r="R35" s="205">
        <f>M35</f>
        <v>183</v>
      </c>
      <c r="S35" s="332">
        <f>Q35*R35</f>
        <v>0</v>
      </c>
      <c r="T35" s="114"/>
      <c r="Y35" s="341">
        <v>30</v>
      </c>
    </row>
    <row r="36" spans="1:25" x14ac:dyDescent="0.25">
      <c r="A36" s="128"/>
      <c r="B36" s="128"/>
      <c r="C36" s="128"/>
      <c r="D36" s="114"/>
      <c r="E36" s="118"/>
      <c r="F36" s="118"/>
      <c r="G36" s="118"/>
      <c r="H36" s="118"/>
      <c r="I36" s="118"/>
      <c r="J36" s="199">
        <f>DATE($M$13,7,1)</f>
        <v>183</v>
      </c>
      <c r="K36" s="199">
        <f>DATE($M$13+1,6,30)</f>
        <v>547</v>
      </c>
      <c r="L36" s="186">
        <f t="shared" ref="L36:L39" si="7">K36-J36+1</f>
        <v>365</v>
      </c>
      <c r="M36" s="200">
        <f>DATE(YEAR(K36)+(MONTH(K36)&gt;6)*1,6,30)-K35</f>
        <v>365</v>
      </c>
      <c r="N36" s="321">
        <f>ROUND($I$13*M36/((DATE(YEAR($F$13)+4,MONTH($F$13),DAY($F$13)))-$F$13),2)</f>
        <v>0</v>
      </c>
      <c r="O36" s="321">
        <f t="shared" ref="O36:O37" si="8">N36</f>
        <v>0</v>
      </c>
      <c r="P36" s="127"/>
      <c r="Q36" s="204">
        <f t="shared" ref="Q36:Q40" si="9">$N$41/$M$41</f>
        <v>0</v>
      </c>
      <c r="R36" s="205">
        <f t="shared" ref="R36:R40" si="10">M36</f>
        <v>365</v>
      </c>
      <c r="S36" s="332">
        <f t="shared" ref="S36:S40" si="11">Q36*R36</f>
        <v>0</v>
      </c>
      <c r="T36" s="114"/>
      <c r="Y36" s="341">
        <v>31</v>
      </c>
    </row>
    <row r="37" spans="1:25" x14ac:dyDescent="0.25">
      <c r="A37" s="128"/>
      <c r="B37" s="128"/>
      <c r="C37" s="128"/>
      <c r="D37" s="114"/>
      <c r="E37" s="118"/>
      <c r="F37" s="118"/>
      <c r="G37" s="118"/>
      <c r="H37" s="118"/>
      <c r="I37" s="118"/>
      <c r="J37" s="199">
        <f>DATE($M$13+1,7,1)</f>
        <v>548</v>
      </c>
      <c r="K37" s="199">
        <f>DATE($M$13+2,6,30)</f>
        <v>912</v>
      </c>
      <c r="L37" s="186">
        <f t="shared" si="7"/>
        <v>365</v>
      </c>
      <c r="M37" s="200">
        <f>DATE(YEAR(K37)+(MONTH(K37)&gt;6)*1,6,30)-K36</f>
        <v>365</v>
      </c>
      <c r="N37" s="321">
        <f>ROUND($I$13*M37/((DATE(YEAR($F$13)+4,MONTH($F$13),DAY($F$13)))-$F$13),2)</f>
        <v>0</v>
      </c>
      <c r="O37" s="321">
        <f t="shared" si="8"/>
        <v>0</v>
      </c>
      <c r="P37" s="127"/>
      <c r="Q37" s="204">
        <f t="shared" si="9"/>
        <v>0</v>
      </c>
      <c r="R37" s="205">
        <f t="shared" si="10"/>
        <v>365</v>
      </c>
      <c r="S37" s="332">
        <f t="shared" si="11"/>
        <v>0</v>
      </c>
      <c r="T37" s="114"/>
      <c r="Y37" s="341">
        <v>32</v>
      </c>
    </row>
    <row r="38" spans="1:25" x14ac:dyDescent="0.25">
      <c r="A38" s="128"/>
      <c r="B38" s="128"/>
      <c r="C38" s="128"/>
      <c r="D38" s="114"/>
      <c r="E38" s="118"/>
      <c r="F38" s="118"/>
      <c r="G38" s="118"/>
      <c r="H38" s="118"/>
      <c r="I38" s="118"/>
      <c r="J38" s="199">
        <f>DATE($M$13+2,7,1)</f>
        <v>913</v>
      </c>
      <c r="K38" s="199">
        <f>DATE($M$13+3,6,30)</f>
        <v>1277</v>
      </c>
      <c r="L38" s="186">
        <f t="shared" si="7"/>
        <v>365</v>
      </c>
      <c r="M38" s="200">
        <f>DATE(YEAR(K38)+(MONTH(K38)&gt;6)*1,6,30)-K37</f>
        <v>365</v>
      </c>
      <c r="N38" s="321">
        <f>ROUND($I$13*M38/((DATE(YEAR($F$13)+4,MONTH($F$13),DAY($F$13)))-$F$13),2)</f>
        <v>0</v>
      </c>
      <c r="O38" s="321">
        <f>IF(AND(M39=0,SUM(N35:N40)&gt;$C$21),N38-(N41-$C$21),IF(AND(M39&lt;&gt;0,$C$21&lt;N41),N38,IF($C$21&lt;SUM(N35:N40),N38-(N41-$C$21),N38)))</f>
        <v>0</v>
      </c>
      <c r="P38" s="127"/>
      <c r="Q38" s="204">
        <f t="shared" si="9"/>
        <v>0</v>
      </c>
      <c r="R38" s="205">
        <f t="shared" si="10"/>
        <v>365</v>
      </c>
      <c r="S38" s="332">
        <f t="shared" si="11"/>
        <v>0</v>
      </c>
      <c r="T38" s="114"/>
      <c r="Y38" s="341">
        <v>33</v>
      </c>
    </row>
    <row r="39" spans="1:25" x14ac:dyDescent="0.25">
      <c r="A39" s="128"/>
      <c r="B39" s="128"/>
      <c r="C39" s="128"/>
      <c r="D39" s="114"/>
      <c r="E39" s="118"/>
      <c r="F39" s="118"/>
      <c r="G39" s="118"/>
      <c r="H39" s="118"/>
      <c r="I39" s="118"/>
      <c r="J39" s="199">
        <f>DATE($M$13+3,7,1)</f>
        <v>1278</v>
      </c>
      <c r="K39" s="199">
        <f>DATE($M$13+4,6,30)</f>
        <v>1643</v>
      </c>
      <c r="L39" s="186">
        <f t="shared" si="7"/>
        <v>366</v>
      </c>
      <c r="M39" s="200">
        <f>((DATE(YEAR($F$13)+4,MONTH($F$13),DAY($F$13)))-$F$13)-SUM($M$35:$M$38)</f>
        <v>183</v>
      </c>
      <c r="N39" s="321">
        <f>ROUND($I$13*M39/((DATE(YEAR($F$13)+4,MONTH($F$13),DAY($F$13)))-$F$13),2)</f>
        <v>0</v>
      </c>
      <c r="O39" s="321">
        <f>IF(M39=0,N39,IF($C$21&lt;SUM($N$35:$N$40),N39-($N$41-$C$21),N39))</f>
        <v>0</v>
      </c>
      <c r="P39" s="127"/>
      <c r="Q39" s="204">
        <f t="shared" si="9"/>
        <v>0</v>
      </c>
      <c r="R39" s="205">
        <f t="shared" si="10"/>
        <v>183</v>
      </c>
      <c r="S39" s="332">
        <f t="shared" si="11"/>
        <v>0</v>
      </c>
      <c r="T39" s="114"/>
      <c r="Y39" s="341">
        <v>34</v>
      </c>
    </row>
    <row r="40" spans="1:25" x14ac:dyDescent="0.25">
      <c r="A40" s="128"/>
      <c r="B40" s="128"/>
      <c r="C40" s="128"/>
      <c r="D40" s="114"/>
      <c r="E40" s="118"/>
      <c r="F40" s="118"/>
      <c r="G40" s="118"/>
      <c r="H40" s="118"/>
      <c r="I40" s="118"/>
      <c r="J40" s="199">
        <f>DATE($M$13+4,7,1)</f>
        <v>1644</v>
      </c>
      <c r="K40" s="199">
        <f>DATE($M$13+5,6,30)</f>
        <v>2008</v>
      </c>
      <c r="L40" s="186"/>
      <c r="M40" s="200"/>
      <c r="N40" s="321"/>
      <c r="O40" s="321"/>
      <c r="P40" s="127"/>
      <c r="Q40" s="204">
        <f t="shared" si="9"/>
        <v>0</v>
      </c>
      <c r="R40" s="205">
        <f t="shared" si="10"/>
        <v>0</v>
      </c>
      <c r="S40" s="332">
        <f t="shared" si="11"/>
        <v>0</v>
      </c>
      <c r="T40" s="114"/>
      <c r="Y40" s="341">
        <v>35</v>
      </c>
    </row>
    <row r="41" spans="1:25" x14ac:dyDescent="0.25">
      <c r="A41" s="128"/>
      <c r="B41" s="128"/>
      <c r="C41" s="128"/>
      <c r="D41" s="114"/>
      <c r="E41" s="118"/>
      <c r="F41" s="118"/>
      <c r="G41" s="118"/>
      <c r="H41" s="118"/>
      <c r="I41" s="118"/>
      <c r="J41" s="192"/>
      <c r="K41" s="197" t="s">
        <v>451</v>
      </c>
      <c r="L41" s="197"/>
      <c r="M41" s="198">
        <f>SUM(M35:M40)</f>
        <v>1461</v>
      </c>
      <c r="N41" s="324">
        <f>SUM(N35:N40)</f>
        <v>0</v>
      </c>
      <c r="O41" s="324">
        <f>SUM(O35:O40)</f>
        <v>0</v>
      </c>
      <c r="P41" s="127"/>
      <c r="Q41" s="118"/>
      <c r="R41" s="118"/>
      <c r="S41" s="324">
        <f>SUM(S35:S40)</f>
        <v>0</v>
      </c>
      <c r="T41" s="114"/>
      <c r="Y41" s="341">
        <v>36</v>
      </c>
    </row>
    <row r="42" spans="1:25" x14ac:dyDescent="0.25">
      <c r="A42" s="128"/>
      <c r="B42" s="128"/>
      <c r="C42" s="128"/>
      <c r="D42" s="114"/>
      <c r="E42" s="118"/>
      <c r="F42" s="118"/>
      <c r="G42" s="118"/>
      <c r="H42" s="118"/>
      <c r="I42" s="118"/>
      <c r="J42" s="131" t="s">
        <v>535</v>
      </c>
      <c r="K42" s="118"/>
      <c r="L42" s="118"/>
      <c r="M42" s="118"/>
      <c r="N42" s="118"/>
      <c r="O42" s="127"/>
      <c r="P42" s="127"/>
      <c r="Q42" s="118"/>
      <c r="R42" s="118"/>
      <c r="S42" s="118"/>
      <c r="T42" s="114"/>
      <c r="Y42" s="341">
        <v>37</v>
      </c>
    </row>
    <row r="43" spans="1:25" ht="25.5" x14ac:dyDescent="0.25">
      <c r="A43" s="128"/>
      <c r="B43" s="128"/>
      <c r="C43" s="128"/>
      <c r="D43" s="114"/>
      <c r="E43" s="118"/>
      <c r="F43" s="118"/>
      <c r="G43" s="118"/>
      <c r="H43" s="118"/>
      <c r="I43" s="118"/>
      <c r="J43" s="193" t="s">
        <v>445</v>
      </c>
      <c r="K43" s="193" t="s">
        <v>446</v>
      </c>
      <c r="L43" s="193" t="s">
        <v>447</v>
      </c>
      <c r="M43" s="193" t="s">
        <v>448</v>
      </c>
      <c r="N43" s="193" t="s">
        <v>531</v>
      </c>
      <c r="O43" s="193" t="s">
        <v>532</v>
      </c>
      <c r="P43" s="127"/>
      <c r="Q43" s="432" t="s">
        <v>533</v>
      </c>
      <c r="R43" s="432"/>
      <c r="S43" s="432"/>
      <c r="T43" s="114"/>
      <c r="Y43" s="341">
        <v>38</v>
      </c>
    </row>
    <row r="44" spans="1:25" x14ac:dyDescent="0.25">
      <c r="A44" s="128"/>
      <c r="B44" s="128"/>
      <c r="C44" s="128"/>
      <c r="D44" s="114"/>
      <c r="E44" s="118"/>
      <c r="F44" s="118"/>
      <c r="G44" s="118"/>
      <c r="H44" s="118"/>
      <c r="I44" s="118"/>
      <c r="J44" s="199">
        <f>DATE($M$13-1,7,1)</f>
        <v>693779</v>
      </c>
      <c r="K44" s="199">
        <f>DATE($M$13,6,30)</f>
        <v>182</v>
      </c>
      <c r="L44" s="186">
        <f>K44-J44+1</f>
        <v>-693596</v>
      </c>
      <c r="M44" s="200">
        <f>DATE(YEAR($F$13)+(MONTH($F$13)&gt;6)*1,6,30)-($F$13-1)</f>
        <v>183</v>
      </c>
      <c r="N44" s="321">
        <f>ROUND($I$13*M44/((DATE(YEAR($F$13)+3,MONTH($F$13),DAY($F$13)))-$F$13),2)</f>
        <v>0</v>
      </c>
      <c r="O44" s="321">
        <f>IF(M44=0,N44,IF($C$21&gt;SUM($N$44:$N$47),N44+$C$21-N50,N44))</f>
        <v>0</v>
      </c>
      <c r="P44" s="127"/>
      <c r="Q44" s="204">
        <f>$N$50/$M$50</f>
        <v>0</v>
      </c>
      <c r="R44" s="205">
        <f>M44</f>
        <v>183</v>
      </c>
      <c r="S44" s="332">
        <f>Q44*R44</f>
        <v>0</v>
      </c>
      <c r="T44" s="114"/>
      <c r="Y44" s="341">
        <v>39</v>
      </c>
    </row>
    <row r="45" spans="1:25" ht="15.75" thickBot="1" x14ac:dyDescent="0.3">
      <c r="A45" s="128"/>
      <c r="B45" s="128"/>
      <c r="C45" s="128"/>
      <c r="D45" s="114"/>
      <c r="E45" s="118"/>
      <c r="F45" s="118"/>
      <c r="G45" s="118"/>
      <c r="H45" s="118"/>
      <c r="I45" s="118"/>
      <c r="J45" s="199">
        <f>DATE($M$13,7,1)</f>
        <v>183</v>
      </c>
      <c r="K45" s="199">
        <f>DATE($M$13+1,6,30)</f>
        <v>547</v>
      </c>
      <c r="L45" s="186">
        <f t="shared" ref="L45:L47" si="12">K45-J45+1</f>
        <v>365</v>
      </c>
      <c r="M45" s="200">
        <f>DATE(YEAR(K45)+(MONTH(K45)&gt;6)*1,6,30)-K44</f>
        <v>365</v>
      </c>
      <c r="N45" s="321">
        <f>ROUND($I$13*M45/((DATE(YEAR($F$13)+3,MONTH($F$13),DAY($F$13)))-$F$13),2)</f>
        <v>0</v>
      </c>
      <c r="O45" s="321">
        <f t="shared" ref="O45" si="13">N45</f>
        <v>0</v>
      </c>
      <c r="P45" s="127"/>
      <c r="Q45" s="204">
        <f t="shared" ref="Q45:Q49" si="14">$N$50/$M$50</f>
        <v>0</v>
      </c>
      <c r="R45" s="205">
        <f t="shared" ref="R45:R49" si="15">M45</f>
        <v>365</v>
      </c>
      <c r="S45" s="332">
        <f t="shared" ref="S45:S49" si="16">Q45*R45</f>
        <v>0</v>
      </c>
      <c r="T45" s="114"/>
      <c r="Y45" s="344">
        <v>40</v>
      </c>
    </row>
    <row r="46" spans="1:25" x14ac:dyDescent="0.25">
      <c r="A46" s="128"/>
      <c r="B46" s="128"/>
      <c r="C46" s="128"/>
      <c r="D46" s="114"/>
      <c r="E46" s="118"/>
      <c r="F46" s="118"/>
      <c r="G46" s="118"/>
      <c r="H46" s="118"/>
      <c r="I46" s="231"/>
      <c r="J46" s="199">
        <f>DATE($M$13+1,7,1)</f>
        <v>548</v>
      </c>
      <c r="K46" s="199">
        <f>DATE($M$13+2,6,30)</f>
        <v>912</v>
      </c>
      <c r="L46" s="186">
        <f t="shared" si="12"/>
        <v>365</v>
      </c>
      <c r="M46" s="200">
        <f>DATE(YEAR(K46)+(MONTH(K46)&gt;6)*1,6,30)-K45</f>
        <v>365</v>
      </c>
      <c r="N46" s="321">
        <f>ROUND($I$13*M46/((DATE(YEAR($F$13)+3,MONTH($F$13),DAY($F$13)))-$F$13),2)</f>
        <v>0</v>
      </c>
      <c r="O46" s="321">
        <f>IF(AND(M47=0,SUM(N44:N49)&gt;$C$21),N46-(N50-$C$21),IF(AND(M47&lt;&gt;0,$C$21&lt;N50),N46,IF($C$21&lt;SUM(N44:N49),N46-(N50-$C$21),N46)))</f>
        <v>0</v>
      </c>
      <c r="P46" s="127"/>
      <c r="Q46" s="204">
        <f t="shared" si="14"/>
        <v>0</v>
      </c>
      <c r="R46" s="205">
        <f t="shared" si="15"/>
        <v>365</v>
      </c>
      <c r="S46" s="332">
        <f t="shared" si="16"/>
        <v>0</v>
      </c>
      <c r="T46" s="114"/>
    </row>
    <row r="47" spans="1:25" x14ac:dyDescent="0.25">
      <c r="A47" s="128"/>
      <c r="B47" s="128"/>
      <c r="C47" s="128"/>
      <c r="D47" s="114"/>
      <c r="E47" s="118"/>
      <c r="F47" s="118"/>
      <c r="G47" s="118"/>
      <c r="H47" s="118"/>
      <c r="I47" s="118"/>
      <c r="J47" s="199">
        <f>DATE($M$13+2,7,1)</f>
        <v>913</v>
      </c>
      <c r="K47" s="199">
        <f>DATE($M$13+3,6,30)</f>
        <v>1277</v>
      </c>
      <c r="L47" s="186">
        <f t="shared" si="12"/>
        <v>365</v>
      </c>
      <c r="M47" s="200">
        <f>((DATE(YEAR($F$13)+3,MONTH($F$13),DAY($F$13)))-$F$13)-SUM($M$44:$M$46)</f>
        <v>183</v>
      </c>
      <c r="N47" s="321">
        <f>ROUND($I$13*M47/((DATE(YEAR($F$13)+3,MONTH($F$13),DAY($F$13)))-$F$13),2)</f>
        <v>0</v>
      </c>
      <c r="O47" s="321">
        <f>IF(M47=0,N47,IF($C$21&lt;SUM($N$44:$N$49),N47-($N$50-$C$21),N47))</f>
        <v>0</v>
      </c>
      <c r="P47" s="127"/>
      <c r="Q47" s="204">
        <f t="shared" si="14"/>
        <v>0</v>
      </c>
      <c r="R47" s="205">
        <f t="shared" si="15"/>
        <v>183</v>
      </c>
      <c r="S47" s="332">
        <f t="shared" si="16"/>
        <v>0</v>
      </c>
      <c r="T47" s="114"/>
    </row>
    <row r="48" spans="1:25" x14ac:dyDescent="0.25">
      <c r="A48" s="128"/>
      <c r="B48" s="128"/>
      <c r="C48" s="128"/>
      <c r="D48" s="114"/>
      <c r="E48" s="118"/>
      <c r="F48" s="118"/>
      <c r="G48" s="118"/>
      <c r="H48" s="118"/>
      <c r="I48" s="118"/>
      <c r="J48" s="199">
        <f>DATE($M$13+3,7,1)</f>
        <v>1278</v>
      </c>
      <c r="K48" s="199">
        <f>DATE($M$13+4,6,30)</f>
        <v>1643</v>
      </c>
      <c r="L48" s="186"/>
      <c r="M48" s="200"/>
      <c r="N48" s="321"/>
      <c r="O48" s="321"/>
      <c r="P48" s="127"/>
      <c r="Q48" s="204">
        <f t="shared" si="14"/>
        <v>0</v>
      </c>
      <c r="R48" s="205">
        <f t="shared" si="15"/>
        <v>0</v>
      </c>
      <c r="S48" s="332">
        <f t="shared" si="16"/>
        <v>0</v>
      </c>
      <c r="T48" s="114"/>
    </row>
    <row r="49" spans="1:20" x14ac:dyDescent="0.25">
      <c r="A49" s="128"/>
      <c r="B49" s="128"/>
      <c r="C49" s="128"/>
      <c r="D49" s="114"/>
      <c r="E49" s="118"/>
      <c r="F49" s="118"/>
      <c r="G49" s="118"/>
      <c r="H49" s="118"/>
      <c r="I49" s="118"/>
      <c r="J49" s="199">
        <f>DATE($M$13+4,7,1)</f>
        <v>1644</v>
      </c>
      <c r="K49" s="199">
        <f>DATE($M$13+5,6,30)</f>
        <v>2008</v>
      </c>
      <c r="L49" s="186"/>
      <c r="M49" s="200"/>
      <c r="N49" s="321"/>
      <c r="O49" s="321"/>
      <c r="P49" s="127"/>
      <c r="Q49" s="204">
        <f t="shared" si="14"/>
        <v>0</v>
      </c>
      <c r="R49" s="205">
        <f t="shared" si="15"/>
        <v>0</v>
      </c>
      <c r="S49" s="332">
        <f t="shared" si="16"/>
        <v>0</v>
      </c>
      <c r="T49" s="114"/>
    </row>
    <row r="50" spans="1:20" x14ac:dyDescent="0.25">
      <c r="A50" s="128"/>
      <c r="B50" s="128"/>
      <c r="C50" s="128"/>
      <c r="D50" s="114"/>
      <c r="E50" s="118"/>
      <c r="F50" s="118"/>
      <c r="G50" s="118"/>
      <c r="H50" s="118"/>
      <c r="I50" s="118"/>
      <c r="J50" s="118"/>
      <c r="K50" s="197" t="s">
        <v>451</v>
      </c>
      <c r="L50" s="197"/>
      <c r="M50" s="198">
        <f>SUM(M44:M49)</f>
        <v>1096</v>
      </c>
      <c r="N50" s="324">
        <f>SUM(N44:N49)</f>
        <v>0</v>
      </c>
      <c r="O50" s="324">
        <f>SUM(O44:O47)</f>
        <v>0</v>
      </c>
      <c r="P50" s="127"/>
      <c r="Q50" s="118"/>
      <c r="R50" s="118"/>
      <c r="S50" s="324">
        <f>SUM(S44:S49)</f>
        <v>0</v>
      </c>
      <c r="T50" s="114"/>
    </row>
    <row r="51" spans="1:20" x14ac:dyDescent="0.25">
      <c r="A51" s="128"/>
      <c r="B51" s="128"/>
      <c r="C51" s="128"/>
      <c r="D51" s="114"/>
      <c r="E51" s="118"/>
      <c r="F51" s="118"/>
      <c r="G51" s="118"/>
      <c r="H51" s="118"/>
      <c r="I51" s="118"/>
      <c r="J51" s="131" t="s">
        <v>536</v>
      </c>
      <c r="K51" s="118"/>
      <c r="L51" s="118"/>
      <c r="M51" s="118"/>
      <c r="N51" s="118"/>
      <c r="O51" s="127"/>
      <c r="P51" s="127"/>
      <c r="Q51" s="118"/>
      <c r="R51" s="118"/>
      <c r="S51" s="118"/>
      <c r="T51" s="114"/>
    </row>
    <row r="52" spans="1:20" ht="25.5" x14ac:dyDescent="0.25">
      <c r="A52" s="128"/>
      <c r="B52" s="128"/>
      <c r="C52" s="128"/>
      <c r="D52" s="114"/>
      <c r="E52" s="118"/>
      <c r="F52" s="118"/>
      <c r="G52" s="118"/>
      <c r="H52" s="118"/>
      <c r="I52" s="118"/>
      <c r="J52" s="193" t="s">
        <v>445</v>
      </c>
      <c r="K52" s="193" t="s">
        <v>446</v>
      </c>
      <c r="L52" s="193" t="s">
        <v>447</v>
      </c>
      <c r="M52" s="193" t="s">
        <v>448</v>
      </c>
      <c r="N52" s="193" t="s">
        <v>531</v>
      </c>
      <c r="O52" s="193" t="s">
        <v>532</v>
      </c>
      <c r="P52" s="127"/>
      <c r="Q52" s="432" t="s">
        <v>533</v>
      </c>
      <c r="R52" s="432"/>
      <c r="S52" s="432"/>
      <c r="T52" s="114"/>
    </row>
    <row r="53" spans="1:20" x14ac:dyDescent="0.25">
      <c r="A53" s="128"/>
      <c r="B53" s="128"/>
      <c r="C53" s="128"/>
      <c r="D53" s="114"/>
      <c r="E53" s="118"/>
      <c r="F53" s="118"/>
      <c r="G53" s="118"/>
      <c r="H53" s="118"/>
      <c r="I53" s="118"/>
      <c r="J53" s="199">
        <f>DATE($M$13-1,7,1)</f>
        <v>693779</v>
      </c>
      <c r="K53" s="199">
        <f>DATE($M$13,6,30)</f>
        <v>182</v>
      </c>
      <c r="L53" s="186">
        <f>K53-J53+1</f>
        <v>-693596</v>
      </c>
      <c r="M53" s="200">
        <f>DATE(YEAR($F$13)+(MONTH($F$13)&gt;6)*1,6,30)-($F$13-1)</f>
        <v>183</v>
      </c>
      <c r="N53" s="320">
        <f>ROUND($I$13*M53/((DATE(YEAR($F$13)+2,MONTH($F$13),DAY($F$13)))-$F$13),2)</f>
        <v>0</v>
      </c>
      <c r="O53" s="325">
        <f>IF(M53=0,N53,IF($C$21&gt;SUM($N$53:$N$58),N53+$C$21-N59,N53))</f>
        <v>0</v>
      </c>
      <c r="P53" s="127"/>
      <c r="Q53" s="336">
        <f>$N$59/$M$59</f>
        <v>0</v>
      </c>
      <c r="R53" s="205">
        <f>M53</f>
        <v>183</v>
      </c>
      <c r="S53" s="332">
        <f>Q53*R53</f>
        <v>0</v>
      </c>
      <c r="T53" s="114"/>
    </row>
    <row r="54" spans="1:20" x14ac:dyDescent="0.25">
      <c r="A54" s="128"/>
      <c r="B54" s="128"/>
      <c r="C54" s="128"/>
      <c r="D54" s="114"/>
      <c r="E54" s="118"/>
      <c r="F54" s="118"/>
      <c r="G54" s="118"/>
      <c r="H54" s="118"/>
      <c r="I54" s="118"/>
      <c r="J54" s="199">
        <f>DATE($M$13,7,1)</f>
        <v>183</v>
      </c>
      <c r="K54" s="199">
        <f>DATE($M$13+1,6,30)</f>
        <v>547</v>
      </c>
      <c r="L54" s="186">
        <f t="shared" ref="L54:L55" si="17">K54-J54+1</f>
        <v>365</v>
      </c>
      <c r="M54" s="200">
        <f>DATE(YEAR(K54)+(MONTH(K54)&gt;6)*1,6,30)-K53</f>
        <v>365</v>
      </c>
      <c r="N54" s="320">
        <f>ROUND($I$13*M54/((DATE(YEAR($F$13)+2,MONTH($F$13),DAY($F$13)))-$F$13),2)</f>
        <v>0</v>
      </c>
      <c r="O54" s="325">
        <f>IF(AND(M55=0,SUM(N53:N58)&gt;$C$21),N54-(N59-$C$21),IF(AND(M55&lt;&gt;0,$C$21&lt;N59),N54,IF($C$21&lt;SUM(N53:N58),N54-(N59-$C$21),N54)))</f>
        <v>0</v>
      </c>
      <c r="P54" s="127"/>
      <c r="Q54" s="336">
        <f t="shared" ref="Q54:Q58" si="18">$N$59/$M$59</f>
        <v>0</v>
      </c>
      <c r="R54" s="205">
        <f t="shared" ref="R54:R58" si="19">M54</f>
        <v>365</v>
      </c>
      <c r="S54" s="332">
        <f t="shared" ref="S54:S58" si="20">Q54*R54</f>
        <v>0</v>
      </c>
      <c r="T54" s="114"/>
    </row>
    <row r="55" spans="1:20" x14ac:dyDescent="0.25">
      <c r="A55" s="128"/>
      <c r="B55" s="128"/>
      <c r="C55" s="128"/>
      <c r="D55" s="114"/>
      <c r="E55" s="118"/>
      <c r="F55" s="118"/>
      <c r="G55" s="118"/>
      <c r="H55" s="118"/>
      <c r="I55" s="118"/>
      <c r="J55" s="199">
        <f>DATE($M$13+1,7,1)</f>
        <v>548</v>
      </c>
      <c r="K55" s="199">
        <f>DATE($M$13+2,6,30)</f>
        <v>912</v>
      </c>
      <c r="L55" s="186">
        <f t="shared" si="17"/>
        <v>365</v>
      </c>
      <c r="M55" s="200">
        <f>((DATE(YEAR($F$13)+2,MONTH($F$13),DAY($F$13)))-$F$13)-SUM($M$53:$M$54)</f>
        <v>183</v>
      </c>
      <c r="N55" s="320">
        <f>ROUND($I$13*M55/((DATE(YEAR($F$13)+2,MONTH($F$13),DAY($F$13)))-$F$13),2)</f>
        <v>0</v>
      </c>
      <c r="O55" s="326">
        <f>IF(M55=0,N55,IF($C$21&lt;SUM($N$53:$N$58),N55-($N$59-$C$21),N55))</f>
        <v>0</v>
      </c>
      <c r="P55" s="127"/>
      <c r="Q55" s="336">
        <f t="shared" si="18"/>
        <v>0</v>
      </c>
      <c r="R55" s="205">
        <f t="shared" si="19"/>
        <v>183</v>
      </c>
      <c r="S55" s="332">
        <f t="shared" si="20"/>
        <v>0</v>
      </c>
      <c r="T55" s="114"/>
    </row>
    <row r="56" spans="1:20" x14ac:dyDescent="0.25">
      <c r="A56" s="128"/>
      <c r="B56" s="128"/>
      <c r="C56" s="128"/>
      <c r="D56" s="114"/>
      <c r="E56" s="118"/>
      <c r="F56" s="118"/>
      <c r="G56" s="118"/>
      <c r="H56" s="118"/>
      <c r="I56" s="118"/>
      <c r="J56" s="199">
        <f>DATE($M$13+2,7,1)</f>
        <v>913</v>
      </c>
      <c r="K56" s="199">
        <f>DATE($M$13+3,6,30)</f>
        <v>1277</v>
      </c>
      <c r="L56" s="186"/>
      <c r="M56" s="200"/>
      <c r="N56" s="334"/>
      <c r="O56" s="321"/>
      <c r="P56" s="127"/>
      <c r="Q56" s="336">
        <f t="shared" si="18"/>
        <v>0</v>
      </c>
      <c r="R56" s="205">
        <f t="shared" si="19"/>
        <v>0</v>
      </c>
      <c r="S56" s="332">
        <f t="shared" si="20"/>
        <v>0</v>
      </c>
      <c r="T56" s="114"/>
    </row>
    <row r="57" spans="1:20" x14ac:dyDescent="0.25">
      <c r="A57" s="128"/>
      <c r="B57" s="128"/>
      <c r="C57" s="128"/>
      <c r="D57" s="114"/>
      <c r="E57" s="118"/>
      <c r="F57" s="118"/>
      <c r="G57" s="118"/>
      <c r="H57" s="118"/>
      <c r="I57" s="118"/>
      <c r="J57" s="199">
        <f>DATE($M$13+3,7,1)</f>
        <v>1278</v>
      </c>
      <c r="K57" s="199">
        <f>DATE($M$13+4,6,30)</f>
        <v>1643</v>
      </c>
      <c r="L57" s="186"/>
      <c r="M57" s="200"/>
      <c r="N57" s="334"/>
      <c r="O57" s="321"/>
      <c r="P57" s="127"/>
      <c r="Q57" s="336">
        <f t="shared" si="18"/>
        <v>0</v>
      </c>
      <c r="R57" s="205">
        <f t="shared" si="19"/>
        <v>0</v>
      </c>
      <c r="S57" s="332">
        <f t="shared" si="20"/>
        <v>0</v>
      </c>
      <c r="T57" s="114"/>
    </row>
    <row r="58" spans="1:20" x14ac:dyDescent="0.25">
      <c r="A58" s="128"/>
      <c r="B58" s="128"/>
      <c r="C58" s="128"/>
      <c r="D58" s="114"/>
      <c r="E58" s="118"/>
      <c r="F58" s="118"/>
      <c r="G58" s="118"/>
      <c r="H58" s="118"/>
      <c r="I58" s="118"/>
      <c r="J58" s="199">
        <f>DATE($M$13+4,7,1)</f>
        <v>1644</v>
      </c>
      <c r="K58" s="199">
        <f>DATE($M$13+5,6,30)</f>
        <v>2008</v>
      </c>
      <c r="L58" s="186"/>
      <c r="M58" s="200"/>
      <c r="N58" s="334"/>
      <c r="O58" s="321"/>
      <c r="P58" s="127"/>
      <c r="Q58" s="336">
        <f t="shared" si="18"/>
        <v>0</v>
      </c>
      <c r="R58" s="205">
        <f t="shared" si="19"/>
        <v>0</v>
      </c>
      <c r="S58" s="332">
        <f t="shared" si="20"/>
        <v>0</v>
      </c>
      <c r="T58" s="114"/>
    </row>
    <row r="59" spans="1:20" x14ac:dyDescent="0.25">
      <c r="A59" s="128"/>
      <c r="B59" s="128"/>
      <c r="C59" s="128"/>
      <c r="D59" s="114"/>
      <c r="E59" s="118"/>
      <c r="F59" s="118"/>
      <c r="G59" s="118"/>
      <c r="H59" s="118"/>
      <c r="I59" s="118"/>
      <c r="J59" s="118"/>
      <c r="K59" s="197" t="s">
        <v>451</v>
      </c>
      <c r="L59" s="197"/>
      <c r="M59" s="198">
        <f>SUM(M53:M58)</f>
        <v>731</v>
      </c>
      <c r="N59" s="324">
        <f>SUM(N53:N58)</f>
        <v>0</v>
      </c>
      <c r="O59" s="324">
        <f>SUM(O53:O56)</f>
        <v>0</v>
      </c>
      <c r="P59" s="127"/>
      <c r="Q59" s="118"/>
      <c r="R59" s="118"/>
      <c r="S59" s="324">
        <f>SUM(S53:S58)</f>
        <v>0</v>
      </c>
      <c r="T59" s="114"/>
    </row>
    <row r="60" spans="1:20" x14ac:dyDescent="0.25">
      <c r="A60" s="128"/>
      <c r="B60" s="128"/>
      <c r="C60" s="128"/>
      <c r="D60" s="114"/>
      <c r="E60" s="118"/>
      <c r="F60" s="118"/>
      <c r="G60" s="118"/>
      <c r="H60" s="118"/>
      <c r="I60" s="118"/>
      <c r="J60" s="131" t="s">
        <v>537</v>
      </c>
      <c r="K60" s="118"/>
      <c r="L60" s="118"/>
      <c r="M60" s="118"/>
      <c r="N60" s="118"/>
      <c r="O60" s="127"/>
      <c r="P60" s="127"/>
      <c r="Q60" s="118"/>
      <c r="R60" s="118"/>
      <c r="S60" s="118"/>
      <c r="T60" s="114"/>
    </row>
    <row r="61" spans="1:20" ht="25.5" x14ac:dyDescent="0.25">
      <c r="A61" s="128"/>
      <c r="B61" s="128"/>
      <c r="C61" s="128"/>
      <c r="D61" s="114"/>
      <c r="E61" s="118"/>
      <c r="F61" s="118"/>
      <c r="G61" s="118"/>
      <c r="H61" s="118"/>
      <c r="I61" s="118"/>
      <c r="J61" s="193" t="s">
        <v>445</v>
      </c>
      <c r="K61" s="193" t="s">
        <v>446</v>
      </c>
      <c r="L61" s="193" t="s">
        <v>447</v>
      </c>
      <c r="M61" s="193" t="s">
        <v>448</v>
      </c>
      <c r="N61" s="193" t="s">
        <v>531</v>
      </c>
      <c r="O61" s="193" t="s">
        <v>532</v>
      </c>
      <c r="P61" s="127"/>
      <c r="Q61" s="432" t="s">
        <v>533</v>
      </c>
      <c r="R61" s="432"/>
      <c r="S61" s="432"/>
      <c r="T61" s="114"/>
    </row>
    <row r="62" spans="1:20" x14ac:dyDescent="0.25">
      <c r="A62" s="128"/>
      <c r="B62" s="128"/>
      <c r="C62" s="128"/>
      <c r="D62" s="114"/>
      <c r="E62" s="118"/>
      <c r="F62" s="118"/>
      <c r="G62" s="118"/>
      <c r="H62" s="118"/>
      <c r="I62" s="118"/>
      <c r="J62" s="199">
        <f>DATE($M$13-1,7,1)</f>
        <v>693779</v>
      </c>
      <c r="K62" s="199">
        <f>DATE($M$13,6,30)</f>
        <v>182</v>
      </c>
      <c r="L62" s="186">
        <f>K62-J62+1</f>
        <v>-693596</v>
      </c>
      <c r="M62" s="200">
        <f>DATE(YEAR($F$13)+(MONTH($F$13)&gt;6)*1,6,30)-($F$13-1)</f>
        <v>183</v>
      </c>
      <c r="N62" s="321">
        <f>ROUND($I$13*M62/((DATE(YEAR($F$13)+1,MONTH($F$13),DAY($F$13)))-$F$13),2)</f>
        <v>0</v>
      </c>
      <c r="O62" s="327">
        <f>IF(M62=0,N62,IF($C$21&gt;SUM($N$61:$N$67),N62+$C$21-N68,N62))</f>
        <v>0</v>
      </c>
      <c r="P62" s="127"/>
      <c r="Q62" s="204">
        <f>$N$68/$M$68</f>
        <v>0</v>
      </c>
      <c r="R62" s="205">
        <f>M62</f>
        <v>183</v>
      </c>
      <c r="S62" s="332">
        <f>Q62*R62</f>
        <v>0</v>
      </c>
      <c r="T62" s="114"/>
    </row>
    <row r="63" spans="1:20" x14ac:dyDescent="0.25">
      <c r="A63" s="128"/>
      <c r="B63" s="128"/>
      <c r="C63" s="128"/>
      <c r="D63" s="114"/>
      <c r="E63" s="118"/>
      <c r="F63" s="118"/>
      <c r="G63" s="118"/>
      <c r="H63" s="118"/>
      <c r="I63" s="118"/>
      <c r="J63" s="199">
        <f>DATE($M$13,7,1)</f>
        <v>183</v>
      </c>
      <c r="K63" s="199">
        <f>DATE($M$13+1,6,30)</f>
        <v>547</v>
      </c>
      <c r="L63" s="186">
        <f t="shared" ref="L63" si="21">K63-J63+1</f>
        <v>365</v>
      </c>
      <c r="M63" s="200">
        <f>((DATE(YEAR($F$13)+1,MONTH($F$13),DAY($F$13)))-$F$13)-SUM($M$53)</f>
        <v>183</v>
      </c>
      <c r="N63" s="321">
        <f>ROUND($I$13*M63/((DATE(YEAR($F$13)+1,MONTH($F$13),DAY($F$13)))-$F$13),2)</f>
        <v>0</v>
      </c>
      <c r="O63" s="335">
        <f>IF(M63=0,N63,IF($C$21&lt;SUM($N$61:$N$67),N63-($N$59-$C$21),N63))</f>
        <v>0</v>
      </c>
      <c r="P63" s="127"/>
      <c r="Q63" s="204">
        <f t="shared" ref="Q63:Q67" si="22">$N$68/$M$68</f>
        <v>0</v>
      </c>
      <c r="R63" s="205">
        <f t="shared" ref="R63:R67" si="23">M63</f>
        <v>183</v>
      </c>
      <c r="S63" s="332">
        <f t="shared" ref="S63:S67" si="24">Q63*R63</f>
        <v>0</v>
      </c>
      <c r="T63" s="114"/>
    </row>
    <row r="64" spans="1:20" x14ac:dyDescent="0.25">
      <c r="A64" s="128"/>
      <c r="B64" s="128"/>
      <c r="C64" s="128"/>
      <c r="D64" s="114"/>
      <c r="E64" s="118"/>
      <c r="F64" s="118"/>
      <c r="G64" s="118"/>
      <c r="H64" s="118"/>
      <c r="I64" s="118"/>
      <c r="J64" s="199">
        <f>DATE($M$13+1,7,1)</f>
        <v>548</v>
      </c>
      <c r="K64" s="199">
        <f>DATE($M$13+2,6,30)</f>
        <v>912</v>
      </c>
      <c r="L64" s="186"/>
      <c r="M64" s="200"/>
      <c r="N64" s="334"/>
      <c r="O64" s="321"/>
      <c r="P64" s="127"/>
      <c r="Q64" s="204">
        <f t="shared" si="22"/>
        <v>0</v>
      </c>
      <c r="R64" s="205">
        <f t="shared" si="23"/>
        <v>0</v>
      </c>
      <c r="S64" s="332">
        <f t="shared" si="24"/>
        <v>0</v>
      </c>
      <c r="T64" s="114"/>
    </row>
    <row r="65" spans="1:20" x14ac:dyDescent="0.25">
      <c r="A65" s="128"/>
      <c r="B65" s="128"/>
      <c r="C65" s="128"/>
      <c r="D65" s="114"/>
      <c r="E65" s="118"/>
      <c r="F65" s="118"/>
      <c r="G65" s="118"/>
      <c r="H65" s="118"/>
      <c r="I65" s="118"/>
      <c r="J65" s="199">
        <f>DATE($M$13+2,7,1)</f>
        <v>913</v>
      </c>
      <c r="K65" s="199">
        <f>DATE($M$13+3,6,30)</f>
        <v>1277</v>
      </c>
      <c r="L65" s="186"/>
      <c r="M65" s="200"/>
      <c r="N65" s="334"/>
      <c r="O65" s="321"/>
      <c r="P65" s="127"/>
      <c r="Q65" s="204">
        <f t="shared" si="22"/>
        <v>0</v>
      </c>
      <c r="R65" s="205">
        <f t="shared" si="23"/>
        <v>0</v>
      </c>
      <c r="S65" s="332">
        <f t="shared" si="24"/>
        <v>0</v>
      </c>
      <c r="T65" s="114"/>
    </row>
    <row r="66" spans="1:20" x14ac:dyDescent="0.25">
      <c r="A66" s="128"/>
      <c r="B66" s="128"/>
      <c r="C66" s="128"/>
      <c r="D66" s="114"/>
      <c r="E66" s="118"/>
      <c r="F66" s="118"/>
      <c r="G66" s="118"/>
      <c r="H66" s="118"/>
      <c r="I66" s="118"/>
      <c r="J66" s="199">
        <f>DATE($M$13+3,7,1)</f>
        <v>1278</v>
      </c>
      <c r="K66" s="199">
        <f>DATE($M$13+4,6,30)</f>
        <v>1643</v>
      </c>
      <c r="L66" s="186"/>
      <c r="M66" s="200"/>
      <c r="N66" s="334"/>
      <c r="O66" s="321"/>
      <c r="P66" s="127"/>
      <c r="Q66" s="204">
        <f t="shared" si="22"/>
        <v>0</v>
      </c>
      <c r="R66" s="205">
        <f t="shared" si="23"/>
        <v>0</v>
      </c>
      <c r="S66" s="332">
        <f t="shared" si="24"/>
        <v>0</v>
      </c>
      <c r="T66" s="114"/>
    </row>
    <row r="67" spans="1:20" x14ac:dyDescent="0.25">
      <c r="A67" s="128"/>
      <c r="B67" s="128"/>
      <c r="C67" s="128"/>
      <c r="D67" s="114"/>
      <c r="E67" s="118"/>
      <c r="F67" s="118"/>
      <c r="G67" s="118"/>
      <c r="H67" s="118"/>
      <c r="I67" s="118"/>
      <c r="J67" s="199">
        <f>DATE($M$13+4,7,1)</f>
        <v>1644</v>
      </c>
      <c r="K67" s="199">
        <f>DATE($M$13+5,6,30)</f>
        <v>2008</v>
      </c>
      <c r="L67" s="186"/>
      <c r="M67" s="200"/>
      <c r="N67" s="334"/>
      <c r="O67" s="321"/>
      <c r="P67" s="127"/>
      <c r="Q67" s="204">
        <f t="shared" si="22"/>
        <v>0</v>
      </c>
      <c r="R67" s="205">
        <f t="shared" si="23"/>
        <v>0</v>
      </c>
      <c r="S67" s="332">
        <f t="shared" si="24"/>
        <v>0</v>
      </c>
      <c r="T67" s="114"/>
    </row>
    <row r="68" spans="1:20" x14ac:dyDescent="0.25">
      <c r="A68" s="128"/>
      <c r="B68" s="128"/>
      <c r="C68" s="128"/>
      <c r="D68" s="114"/>
      <c r="E68" s="118"/>
      <c r="F68" s="118"/>
      <c r="G68" s="118"/>
      <c r="H68" s="118"/>
      <c r="I68" s="118"/>
      <c r="J68" s="118"/>
      <c r="K68" s="197" t="s">
        <v>451</v>
      </c>
      <c r="L68" s="197"/>
      <c r="M68" s="198">
        <f>SUM(M62:M67)</f>
        <v>366</v>
      </c>
      <c r="N68" s="324">
        <f>SUM(N62:N67)</f>
        <v>0</v>
      </c>
      <c r="O68" s="324">
        <f>SUM(O62:O65)</f>
        <v>0</v>
      </c>
      <c r="P68" s="127"/>
      <c r="Q68" s="118"/>
      <c r="R68" s="118"/>
      <c r="S68" s="324">
        <f>SUM(S62:S67)</f>
        <v>0</v>
      </c>
      <c r="T68" s="114"/>
    </row>
    <row r="69" spans="1:20" x14ac:dyDescent="0.25">
      <c r="A69" s="128"/>
      <c r="B69" s="128"/>
      <c r="C69" s="128"/>
      <c r="D69" s="114"/>
      <c r="E69" s="118"/>
      <c r="F69" s="118"/>
      <c r="G69" s="118"/>
      <c r="H69" s="118"/>
      <c r="I69" s="118"/>
      <c r="J69" s="118"/>
      <c r="K69" s="118"/>
      <c r="L69" s="118"/>
      <c r="M69" s="118"/>
      <c r="N69" s="118"/>
      <c r="O69" s="127"/>
      <c r="P69" s="127"/>
      <c r="Q69" s="118"/>
      <c r="R69" s="118"/>
      <c r="S69" s="118"/>
      <c r="T69" s="114"/>
    </row>
    <row r="70" spans="1:20" ht="25.5" x14ac:dyDescent="0.25">
      <c r="A70" s="128"/>
      <c r="B70" s="128"/>
      <c r="C70" s="128"/>
      <c r="D70" s="114"/>
      <c r="E70" s="118"/>
      <c r="F70" s="118"/>
      <c r="G70" s="118"/>
      <c r="H70" s="118"/>
      <c r="I70" s="118"/>
      <c r="J70" s="114"/>
      <c r="K70" s="114"/>
      <c r="L70" s="193" t="s">
        <v>457</v>
      </c>
      <c r="M70" s="193" t="s">
        <v>448</v>
      </c>
      <c r="N70" s="193" t="s">
        <v>458</v>
      </c>
      <c r="O70" s="127"/>
      <c r="P70" s="127"/>
      <c r="Q70" s="118"/>
      <c r="R70" s="118"/>
      <c r="S70" s="118"/>
      <c r="T70" s="114"/>
    </row>
    <row r="71" spans="1:20" x14ac:dyDescent="0.25">
      <c r="A71" s="128"/>
      <c r="B71" s="128"/>
      <c r="C71" s="128"/>
      <c r="D71" s="114"/>
      <c r="E71" s="118"/>
      <c r="F71" s="118"/>
      <c r="G71" s="118"/>
      <c r="H71" s="118"/>
      <c r="I71" s="118"/>
      <c r="J71" s="114"/>
      <c r="K71" s="114"/>
      <c r="L71" s="201" t="str">
        <f>VLOOKUP('Reference module'!B1097,'Reference module'!$C$1096:$E$1102,3)</f>
        <v>2013-14</v>
      </c>
      <c r="M71" s="202">
        <f t="shared" ref="M71:M76" si="25">IF($R$13&gt;=5,M26,IF($R$13=4,M35,IF($R$13=3,M44,IF($R$13=2,M53,IF($R$13=1,M62,"")))))</f>
        <v>183</v>
      </c>
      <c r="N71" s="327">
        <f t="shared" ref="N71:N76" si="26">IF($R$13&gt;=5,O26,IF($R$13=4,O35,IF($R$13=3,O44,IF($R$13=2,O53,IF($R$13=1,O62,"")))))</f>
        <v>0</v>
      </c>
      <c r="O71" s="127"/>
      <c r="P71" s="127"/>
      <c r="Q71" s="118"/>
      <c r="R71" s="118"/>
      <c r="S71" s="118"/>
      <c r="T71" s="114"/>
    </row>
    <row r="72" spans="1:20" x14ac:dyDescent="0.25">
      <c r="A72" s="128"/>
      <c r="B72" s="128"/>
      <c r="C72" s="128"/>
      <c r="D72" s="114"/>
      <c r="E72" s="118"/>
      <c r="F72" s="118"/>
      <c r="G72" s="118"/>
      <c r="H72" s="118"/>
      <c r="I72" s="118"/>
      <c r="J72" s="114"/>
      <c r="K72" s="114"/>
      <c r="L72" s="201" t="str">
        <f>VLOOKUP('Reference module'!B1098,'Reference module'!$C$1096:$E$1102,3)</f>
        <v>2014-15</v>
      </c>
      <c r="M72" s="202">
        <f t="shared" si="25"/>
        <v>365</v>
      </c>
      <c r="N72" s="327">
        <f t="shared" si="26"/>
        <v>0</v>
      </c>
      <c r="O72" s="127"/>
      <c r="P72" s="127"/>
      <c r="Q72" s="118"/>
      <c r="R72" s="118"/>
      <c r="S72" s="118"/>
      <c r="T72" s="114"/>
    </row>
    <row r="73" spans="1:20" x14ac:dyDescent="0.25">
      <c r="A73" s="128"/>
      <c r="B73" s="128"/>
      <c r="C73" s="128"/>
      <c r="D73" s="114"/>
      <c r="E73" s="118"/>
      <c r="F73" s="118"/>
      <c r="G73" s="118"/>
      <c r="H73" s="118"/>
      <c r="I73" s="118"/>
      <c r="J73" s="114"/>
      <c r="K73" s="114"/>
      <c r="L73" s="201" t="str">
        <f>VLOOKUP('Reference module'!B1099,'Reference module'!$C$1096:$E$1102,3)</f>
        <v>2015-16</v>
      </c>
      <c r="M73" s="202">
        <f t="shared" si="25"/>
        <v>365</v>
      </c>
      <c r="N73" s="327">
        <f t="shared" si="26"/>
        <v>0</v>
      </c>
      <c r="O73" s="127"/>
      <c r="P73" s="127"/>
      <c r="Q73" s="118"/>
      <c r="R73" s="118"/>
      <c r="S73" s="118"/>
      <c r="T73" s="114"/>
    </row>
    <row r="74" spans="1:20" x14ac:dyDescent="0.25">
      <c r="A74" s="128"/>
      <c r="B74" s="128"/>
      <c r="C74" s="128"/>
      <c r="D74" s="114"/>
      <c r="E74" s="118"/>
      <c r="F74" s="118"/>
      <c r="G74" s="118"/>
      <c r="H74" s="118"/>
      <c r="I74" s="118"/>
      <c r="J74" s="114"/>
      <c r="K74" s="114"/>
      <c r="L74" s="201" t="str">
        <f>VLOOKUP('Reference module'!B1100,'Reference module'!$C$1096:$E$1102,3)</f>
        <v>2016-17</v>
      </c>
      <c r="M74" s="202">
        <f t="shared" si="25"/>
        <v>365</v>
      </c>
      <c r="N74" s="327">
        <f t="shared" si="26"/>
        <v>0</v>
      </c>
      <c r="O74" s="127"/>
      <c r="P74" s="127"/>
      <c r="Q74" s="118"/>
      <c r="R74" s="118"/>
      <c r="S74" s="118"/>
      <c r="T74" s="114"/>
    </row>
    <row r="75" spans="1:20" x14ac:dyDescent="0.25">
      <c r="A75" s="128"/>
      <c r="B75" s="128"/>
      <c r="C75" s="128"/>
      <c r="D75" s="114"/>
      <c r="E75" s="118"/>
      <c r="F75" s="118"/>
      <c r="G75" s="118"/>
      <c r="H75" s="118"/>
      <c r="I75" s="118"/>
      <c r="J75" s="114"/>
      <c r="K75" s="114"/>
      <c r="L75" s="201" t="str">
        <f>VLOOKUP('Reference module'!B1101,'Reference module'!$C$1096:$E$1102,3)</f>
        <v>2017-18</v>
      </c>
      <c r="M75" s="202">
        <f t="shared" si="25"/>
        <v>366</v>
      </c>
      <c r="N75" s="327">
        <f t="shared" si="26"/>
        <v>0</v>
      </c>
      <c r="O75" s="127"/>
      <c r="P75" s="127"/>
      <c r="Q75" s="118"/>
      <c r="R75" s="118"/>
      <c r="S75" s="118"/>
      <c r="T75" s="114"/>
    </row>
    <row r="76" spans="1:20" x14ac:dyDescent="0.25">
      <c r="A76" s="128"/>
      <c r="B76" s="128"/>
      <c r="C76" s="128"/>
      <c r="D76" s="114"/>
      <c r="E76" s="118"/>
      <c r="F76" s="118"/>
      <c r="G76" s="118"/>
      <c r="H76" s="118"/>
      <c r="I76" s="118"/>
      <c r="J76" s="114"/>
      <c r="K76" s="114"/>
      <c r="L76" s="201" t="str">
        <f>VLOOKUP('Reference module'!B1102,'Reference module'!$C$1096:$E$1102,3)</f>
        <v>2018-19</v>
      </c>
      <c r="M76" s="202">
        <f t="shared" si="25"/>
        <v>183</v>
      </c>
      <c r="N76" s="327">
        <f t="shared" si="26"/>
        <v>0</v>
      </c>
      <c r="O76" s="127"/>
      <c r="P76" s="127"/>
      <c r="Q76" s="118"/>
      <c r="R76" s="118"/>
      <c r="S76" s="118"/>
      <c r="T76" s="114"/>
    </row>
    <row r="77" spans="1:20" x14ac:dyDescent="0.25">
      <c r="A77" s="128"/>
      <c r="B77" s="128"/>
      <c r="C77" s="128"/>
      <c r="D77" s="114"/>
      <c r="E77" s="118"/>
      <c r="F77" s="118"/>
      <c r="G77" s="118"/>
      <c r="H77" s="118"/>
      <c r="I77" s="118"/>
      <c r="J77" s="114"/>
      <c r="K77" s="114"/>
      <c r="L77" s="118"/>
      <c r="M77" s="203">
        <f t="shared" ref="M77:N77" si="27">SUM(M71:M76)</f>
        <v>1827</v>
      </c>
      <c r="N77" s="328">
        <f t="shared" si="27"/>
        <v>0</v>
      </c>
      <c r="O77" s="127"/>
      <c r="P77" s="127"/>
      <c r="Q77" s="118"/>
      <c r="R77" s="118"/>
      <c r="S77" s="118"/>
      <c r="T77" s="114"/>
    </row>
    <row r="78" spans="1:20" x14ac:dyDescent="0.25">
      <c r="A78" s="128"/>
      <c r="B78" s="128"/>
      <c r="C78" s="128"/>
      <c r="D78" s="114"/>
      <c r="E78" s="118"/>
      <c r="F78" s="118"/>
      <c r="G78" s="118"/>
      <c r="H78" s="118"/>
      <c r="I78" s="118"/>
      <c r="J78" s="114"/>
      <c r="K78" s="114"/>
      <c r="L78" s="118"/>
      <c r="M78" s="118"/>
      <c r="N78" s="118"/>
      <c r="O78" s="127"/>
      <c r="P78" s="127"/>
      <c r="Q78" s="118"/>
      <c r="R78" s="118"/>
      <c r="S78" s="118"/>
      <c r="T78" s="114"/>
    </row>
    <row r="79" spans="1:20" ht="25.5" x14ac:dyDescent="0.25">
      <c r="A79" s="128"/>
      <c r="B79" s="128"/>
      <c r="C79" s="128"/>
      <c r="D79" s="114"/>
      <c r="E79" s="118"/>
      <c r="F79" s="118"/>
      <c r="G79" s="118"/>
      <c r="H79" s="118"/>
      <c r="I79" s="118"/>
      <c r="J79" s="114"/>
      <c r="K79" s="114"/>
      <c r="L79" s="193" t="s">
        <v>457</v>
      </c>
      <c r="M79" s="193" t="s">
        <v>448</v>
      </c>
      <c r="N79" s="193" t="s">
        <v>458</v>
      </c>
      <c r="O79" s="127"/>
      <c r="P79" s="127"/>
      <c r="Q79" s="118"/>
      <c r="R79" s="118"/>
      <c r="S79" s="118"/>
      <c r="T79" s="114"/>
    </row>
    <row r="80" spans="1:20" x14ac:dyDescent="0.25">
      <c r="A80" s="128"/>
      <c r="B80" s="128"/>
      <c r="C80" s="128"/>
      <c r="D80" s="114"/>
      <c r="E80" s="118"/>
      <c r="F80" s="118"/>
      <c r="G80" s="118"/>
      <c r="H80" s="118"/>
      <c r="I80" s="118"/>
      <c r="J80" s="114"/>
      <c r="K80" s="114"/>
      <c r="L80" s="201" t="str">
        <f>L71</f>
        <v>2013-14</v>
      </c>
      <c r="M80" s="202">
        <f t="shared" ref="M80" si="28">IF(M71&gt;0,M71,"-")</f>
        <v>183</v>
      </c>
      <c r="N80" s="327">
        <f>N71</f>
        <v>0</v>
      </c>
      <c r="O80" s="127"/>
      <c r="P80" s="127"/>
      <c r="Q80" s="118"/>
      <c r="R80" s="118"/>
      <c r="S80" s="118"/>
      <c r="T80" s="114"/>
    </row>
    <row r="81" spans="1:20" x14ac:dyDescent="0.25">
      <c r="A81" s="128"/>
      <c r="B81" s="128"/>
      <c r="C81" s="128"/>
      <c r="D81" s="114"/>
      <c r="E81" s="118"/>
      <c r="F81" s="118"/>
      <c r="G81" s="118"/>
      <c r="H81" s="118"/>
      <c r="I81" s="118"/>
      <c r="J81" s="114"/>
      <c r="K81" s="114"/>
      <c r="L81" s="201" t="str">
        <f t="shared" ref="L81:L85" si="29">L72</f>
        <v>2014-15</v>
      </c>
      <c r="M81" s="202">
        <f>IF(M72&gt;0,M72,"0")</f>
        <v>365</v>
      </c>
      <c r="N81" s="327">
        <f t="shared" ref="N81:N85" si="30">N72</f>
        <v>0</v>
      </c>
      <c r="O81" s="127"/>
      <c r="P81" s="127"/>
      <c r="Q81" s="118"/>
      <c r="R81" s="118"/>
      <c r="S81" s="118"/>
      <c r="T81" s="114"/>
    </row>
    <row r="82" spans="1:20" x14ac:dyDescent="0.25">
      <c r="A82" s="128"/>
      <c r="B82" s="128"/>
      <c r="C82" s="128"/>
      <c r="D82" s="114"/>
      <c r="E82" s="118"/>
      <c r="F82" s="118"/>
      <c r="G82" s="118"/>
      <c r="H82" s="118"/>
      <c r="I82" s="118"/>
      <c r="J82" s="114"/>
      <c r="K82" s="114"/>
      <c r="L82" s="201" t="str">
        <f t="shared" si="29"/>
        <v>2015-16</v>
      </c>
      <c r="M82" s="202">
        <f>IF(M73&gt;0,M73,"0")</f>
        <v>365</v>
      </c>
      <c r="N82" s="327">
        <f t="shared" si="30"/>
        <v>0</v>
      </c>
      <c r="O82" s="127"/>
      <c r="P82" s="127"/>
      <c r="Q82" s="118"/>
      <c r="R82" s="118"/>
      <c r="S82" s="118"/>
      <c r="T82" s="114"/>
    </row>
    <row r="83" spans="1:20" x14ac:dyDescent="0.25">
      <c r="A83" s="128"/>
      <c r="B83" s="128"/>
      <c r="C83" s="128"/>
      <c r="D83" s="114"/>
      <c r="E83" s="118"/>
      <c r="F83" s="118"/>
      <c r="G83" s="118"/>
      <c r="H83" s="118"/>
      <c r="I83" s="118"/>
      <c r="J83" s="114"/>
      <c r="K83" s="114"/>
      <c r="L83" s="201" t="str">
        <f t="shared" si="29"/>
        <v>2016-17</v>
      </c>
      <c r="M83" s="202">
        <f>IF(M74&gt;0,M74,"0")</f>
        <v>365</v>
      </c>
      <c r="N83" s="327">
        <f t="shared" si="30"/>
        <v>0</v>
      </c>
      <c r="O83" s="127"/>
      <c r="P83" s="127"/>
      <c r="Q83" s="118"/>
      <c r="R83" s="118"/>
      <c r="S83" s="118"/>
      <c r="T83" s="114"/>
    </row>
    <row r="84" spans="1:20" x14ac:dyDescent="0.25">
      <c r="A84" s="128"/>
      <c r="B84" s="128"/>
      <c r="C84" s="128"/>
      <c r="D84" s="114"/>
      <c r="E84" s="118"/>
      <c r="F84" s="118"/>
      <c r="G84" s="118"/>
      <c r="H84" s="118"/>
      <c r="I84" s="118"/>
      <c r="J84" s="114"/>
      <c r="K84" s="114"/>
      <c r="L84" s="201" t="str">
        <f t="shared" si="29"/>
        <v>2017-18</v>
      </c>
      <c r="M84" s="202">
        <f>IF(M75&gt;0,M75,"0")</f>
        <v>366</v>
      </c>
      <c r="N84" s="327">
        <f t="shared" si="30"/>
        <v>0</v>
      </c>
      <c r="O84" s="127"/>
      <c r="P84" s="127"/>
      <c r="Q84" s="118"/>
      <c r="R84" s="118"/>
      <c r="S84" s="118"/>
      <c r="T84" s="114"/>
    </row>
    <row r="85" spans="1:20" x14ac:dyDescent="0.25">
      <c r="A85" s="128"/>
      <c r="B85" s="128"/>
      <c r="C85" s="128"/>
      <c r="D85" s="114"/>
      <c r="E85" s="118"/>
      <c r="F85" s="118"/>
      <c r="G85" s="118"/>
      <c r="H85" s="118"/>
      <c r="I85" s="118"/>
      <c r="J85" s="114"/>
      <c r="K85" s="114"/>
      <c r="L85" s="201" t="str">
        <f t="shared" si="29"/>
        <v>2018-19</v>
      </c>
      <c r="M85" s="202">
        <f>IF(M76&gt;0,M76,"0")</f>
        <v>183</v>
      </c>
      <c r="N85" s="327">
        <f t="shared" si="30"/>
        <v>0</v>
      </c>
      <c r="O85" s="127"/>
      <c r="P85" s="127"/>
      <c r="Q85" s="118"/>
      <c r="R85" s="118"/>
      <c r="S85" s="118"/>
      <c r="T85" s="114"/>
    </row>
    <row r="86" spans="1:20" x14ac:dyDescent="0.25">
      <c r="A86" s="128"/>
      <c r="B86" s="128"/>
      <c r="C86" s="128"/>
      <c r="D86" s="114"/>
      <c r="E86" s="118"/>
      <c r="F86" s="118"/>
      <c r="G86" s="118"/>
      <c r="H86" s="118"/>
      <c r="I86" s="118"/>
      <c r="J86" s="114"/>
      <c r="K86" s="114"/>
      <c r="L86" s="118"/>
      <c r="M86" s="203">
        <f>SUM(M80:M85)</f>
        <v>1827</v>
      </c>
      <c r="N86" s="328" t="str">
        <f t="shared" ref="N86" si="31">IF(N77&gt;0,N77,"")</f>
        <v/>
      </c>
      <c r="O86" s="127"/>
      <c r="P86" s="127"/>
      <c r="Q86" s="118"/>
      <c r="R86" s="118"/>
      <c r="S86" s="118"/>
      <c r="T86" s="114"/>
    </row>
    <row r="87" spans="1:20" x14ac:dyDescent="0.25">
      <c r="A87" s="128"/>
      <c r="B87" s="128"/>
      <c r="C87" s="128"/>
      <c r="D87" s="114"/>
      <c r="E87" s="118"/>
      <c r="F87" s="118"/>
      <c r="G87" s="118"/>
      <c r="H87" s="118"/>
      <c r="I87" s="118"/>
      <c r="J87" s="118"/>
      <c r="K87" s="118"/>
      <c r="L87" s="118"/>
      <c r="M87" s="118"/>
      <c r="N87" s="118"/>
      <c r="O87" s="127"/>
      <c r="P87" s="127"/>
      <c r="Q87" s="118"/>
      <c r="R87" s="114"/>
      <c r="S87" s="114"/>
      <c r="T87" s="114"/>
    </row>
    <row r="97" spans="10:17" x14ac:dyDescent="0.25">
      <c r="J97" s="91"/>
      <c r="K97" s="91"/>
      <c r="L97" s="91"/>
      <c r="M97" s="91"/>
      <c r="N97" s="106"/>
      <c r="O97" s="91"/>
      <c r="P97" s="91"/>
      <c r="Q97" s="91"/>
    </row>
    <row r="98" spans="10:17" x14ac:dyDescent="0.25">
      <c r="N98" s="105"/>
    </row>
    <row r="99" spans="10:17" x14ac:dyDescent="0.25">
      <c r="N99" s="105"/>
    </row>
  </sheetData>
  <sheetProtection algorithmName="SHA-256" hashValue="WQLLBjCeDbuDfpQhsQA7CsmzhO+C7LpYwIaEh/dOR0U=" saltValue="pL88d11akv51O+1vzYSnUQ==" spinCount="100000" sheet="1" objects="1" scenarios="1"/>
  <protectedRanges>
    <protectedRange sqref="F13 I13" name="Range1_1_1"/>
  </protectedRanges>
  <mergeCells count="16">
    <mergeCell ref="A3:B3"/>
    <mergeCell ref="B4:C4"/>
    <mergeCell ref="B12:C12"/>
    <mergeCell ref="E3:H3"/>
    <mergeCell ref="E4:K4"/>
    <mergeCell ref="E12:S12"/>
    <mergeCell ref="K13:L13"/>
    <mergeCell ref="Q25:S25"/>
    <mergeCell ref="W3:W4"/>
    <mergeCell ref="AA3:AA4"/>
    <mergeCell ref="Y3:Y4"/>
    <mergeCell ref="Q34:S34"/>
    <mergeCell ref="Q43:S43"/>
    <mergeCell ref="Q52:S52"/>
    <mergeCell ref="Q61:S61"/>
    <mergeCell ref="O13:Q13"/>
  </mergeCells>
  <conditionalFormatting sqref="C9">
    <cfRule type="expression" dxfId="36" priority="72">
      <formula>IF(OR(AND($C$8="Yes",$C$9=0),AND($C$8="No",$C$9&gt;0)),TRUE,FALSE)</formula>
    </cfRule>
  </conditionalFormatting>
  <conditionalFormatting sqref="J24">
    <cfRule type="expression" dxfId="32" priority="74">
      <formula>IF($C$20*$C$10/$C$5&lt;=100,TRUE,FALSE)</formula>
    </cfRule>
  </conditionalFormatting>
  <conditionalFormatting sqref="J35:N40">
    <cfRule type="expression" dxfId="31" priority="49">
      <formula>IF($C$7=4,TRUE, FALSE)</formula>
    </cfRule>
  </conditionalFormatting>
  <conditionalFormatting sqref="J26:O31">
    <cfRule type="expression" dxfId="30" priority="50">
      <formula>IF($C$7&gt;=5,TRUE, FALSE)</formula>
    </cfRule>
  </conditionalFormatting>
  <conditionalFormatting sqref="J44:O49">
    <cfRule type="expression" dxfId="29" priority="48">
      <formula>IF($C$7=3,TRUE, FALSE)</formula>
    </cfRule>
  </conditionalFormatting>
  <conditionalFormatting sqref="J53:O58">
    <cfRule type="expression" dxfId="28" priority="47">
      <formula>IF($C$7=2,TRUE, FALSE)</formula>
    </cfRule>
  </conditionalFormatting>
  <conditionalFormatting sqref="J62:O67">
    <cfRule type="expression" dxfId="27" priority="46">
      <formula>IF($C$7=1,TRUE, FALSE)</formula>
    </cfRule>
  </conditionalFormatting>
  <conditionalFormatting sqref="K24">
    <cfRule type="expression" dxfId="25" priority="86">
      <formula>IF(AND($C$20*$C$10/$C$5&gt;100,$C$7=1),TRUE,FALSE)</formula>
    </cfRule>
  </conditionalFormatting>
  <conditionalFormatting sqref="M24">
    <cfRule type="expression" dxfId="24" priority="85">
      <formula>IF(AND($C$20*$C$10/$C$5&gt;100,$C$7=2),TRUE,FALSE)</formula>
    </cfRule>
  </conditionalFormatting>
  <conditionalFormatting sqref="N11">
    <cfRule type="expression" dxfId="23" priority="45">
      <formula>IF($N$11&lt;&gt;$N$22,TRUE,FALSE)</formula>
    </cfRule>
  </conditionalFormatting>
  <conditionalFormatting sqref="N22">
    <cfRule type="expression" dxfId="22" priority="44">
      <formula>IF($N$11&lt;&gt;$N$22,TRUE,FALSE)</formula>
    </cfRule>
  </conditionalFormatting>
  <conditionalFormatting sqref="O26">
    <cfRule type="expression" dxfId="21" priority="37">
      <formula>IF($N$26&lt;&gt;$O$26,TRUE,FALSE)</formula>
    </cfRule>
  </conditionalFormatting>
  <conditionalFormatting sqref="O30">
    <cfRule type="expression" dxfId="20" priority="25">
      <formula>IF($N$30&lt;&gt;$O$30,TRUE,FALSE)</formula>
    </cfRule>
  </conditionalFormatting>
  <conditionalFormatting sqref="O31">
    <cfRule type="expression" dxfId="19" priority="24">
      <formula>IF($N$31&lt;&gt;$O$31,TRUE,FALSE)</formula>
    </cfRule>
  </conditionalFormatting>
  <conditionalFormatting sqref="O32">
    <cfRule type="expression" dxfId="18" priority="36">
      <formula>IF($O$32&lt;&gt;$N$32,TRUE,FALSE)</formula>
    </cfRule>
  </conditionalFormatting>
  <conditionalFormatting sqref="O35">
    <cfRule type="expression" dxfId="17" priority="23">
      <formula>IF($N$35&lt;&gt;$O$35,TRUE,FALSE)</formula>
    </cfRule>
  </conditionalFormatting>
  <conditionalFormatting sqref="O35:O39">
    <cfRule type="expression" dxfId="16" priority="31">
      <formula>IF($C$7=4,TRUE,FALSE)</formula>
    </cfRule>
  </conditionalFormatting>
  <conditionalFormatting sqref="O38">
    <cfRule type="expression" dxfId="15" priority="22">
      <formula>IF($N$38&lt;&gt;$O$38,TRUE,FALSE)</formula>
    </cfRule>
  </conditionalFormatting>
  <conditionalFormatting sqref="O39">
    <cfRule type="expression" dxfId="14" priority="21">
      <formula>IF($N$39&lt;&gt;$O$39,TRUE,FALSE)</formula>
    </cfRule>
  </conditionalFormatting>
  <conditionalFormatting sqref="O40">
    <cfRule type="expression" dxfId="13" priority="32">
      <formula>IF($C$7=4,TRUE, FALSE)</formula>
    </cfRule>
  </conditionalFormatting>
  <conditionalFormatting sqref="O41">
    <cfRule type="expression" dxfId="12" priority="30">
      <formula>IF($O$41&lt;&gt;$N$41,TRUE,FALSE)</formula>
    </cfRule>
  </conditionalFormatting>
  <conditionalFormatting sqref="O44">
    <cfRule type="expression" dxfId="11" priority="18">
      <formula>IF($N$44&lt;&gt;$O$44,TRUE,FALSE)</formula>
    </cfRule>
  </conditionalFormatting>
  <conditionalFormatting sqref="O46">
    <cfRule type="expression" dxfId="10" priority="17">
      <formula>IF($N$46&lt;&gt;$O$46,TRUE,FALSE)</formula>
    </cfRule>
  </conditionalFormatting>
  <conditionalFormatting sqref="O47">
    <cfRule type="expression" dxfId="9" priority="16">
      <formula>IF($N$47&lt;&gt;$O$47,TRUE,FALSE)</formula>
    </cfRule>
  </conditionalFormatting>
  <conditionalFormatting sqref="O50">
    <cfRule type="expression" dxfId="8" priority="39">
      <formula>IF($O$50&lt;&gt;$N$50,TRUE,FALSE)</formula>
    </cfRule>
  </conditionalFormatting>
  <conditionalFormatting sqref="O53">
    <cfRule type="expression" dxfId="7" priority="3">
      <formula>IF($N$53&lt;&gt;$N$53,TRUE,FALSE)</formula>
    </cfRule>
  </conditionalFormatting>
  <conditionalFormatting sqref="O54">
    <cfRule type="expression" dxfId="6" priority="2">
      <formula>IF($O$54&lt;&gt;$N$54,TRUE,FALSE)</formula>
    </cfRule>
  </conditionalFormatting>
  <conditionalFormatting sqref="O55">
    <cfRule type="expression" dxfId="5" priority="1">
      <formula>IF($O$55&lt;&gt;$N$55,TRUE,FALSE)</formula>
    </cfRule>
  </conditionalFormatting>
  <conditionalFormatting sqref="O59">
    <cfRule type="expression" dxfId="4" priority="8">
      <formula>IF($O$59&lt;&gt;$N$59,TRUE,FALSE)</formula>
    </cfRule>
  </conditionalFormatting>
  <conditionalFormatting sqref="O62">
    <cfRule type="expression" dxfId="3" priority="5">
      <formula>IF($N$62&lt;&gt;$O$62,TRUE,FALSE)</formula>
    </cfRule>
  </conditionalFormatting>
  <conditionalFormatting sqref="O63">
    <cfRule type="expression" dxfId="2" priority="4">
      <formula>IF($N$63&lt;&gt;$O$63,TRUE,FALSE)</formula>
    </cfRule>
  </conditionalFormatting>
  <conditionalFormatting sqref="O68">
    <cfRule type="expression" dxfId="1" priority="7">
      <formula>IF($O$68&lt;&gt;$N$68,TRUE,FALSE)</formula>
    </cfRule>
  </conditionalFormatting>
  <conditionalFormatting sqref="O24:P24">
    <cfRule type="expression" dxfId="0" priority="84">
      <formula>IF(AND($C$20*$C$10/$C$5&gt;100,$C$7=3),TRUE,FALSE)</formula>
    </cfRule>
  </conditionalFormatting>
  <dataValidations count="2">
    <dataValidation type="list" allowBlank="1" showInputMessage="1" showErrorMessage="1" sqref="C8" xr:uid="{C57015EF-2105-4B8F-A41D-A7F92DCF5F13}">
      <formula1>$AA$5:$AA$7</formula1>
    </dataValidation>
    <dataValidation type="list" allowBlank="1" showInputMessage="1" showErrorMessage="1" sqref="C7" xr:uid="{3933CDE7-A32F-49CD-9997-28A4E225C9C2}">
      <formula1>$Y$5:$Y$45</formula1>
    </dataValidation>
  </dataValidations>
  <pageMargins left="0.7" right="0.7" top="0.75" bottom="0.75" header="0.3" footer="0.3"/>
  <pageSetup paperSize="9" orientation="portrait" horizontalDpi="300" verticalDpi="300" r:id="rId1"/>
  <extLst>
    <ext xmlns:x14="http://schemas.microsoft.com/office/spreadsheetml/2009/9/main" uri="{78C0D931-6437-407d-A8EE-F0AAD7539E65}">
      <x14:conditionalFormattings>
        <x14:conditionalFormatting xmlns:xm="http://schemas.microsoft.com/office/excel/2006/main">
          <x14:cfRule type="expression" priority="291" id="{1FEDA248-1E01-4A66-8797-FFDEC63F5F77}">
            <xm:f>IF('Borrowing expenses'!E30="No",TRUE,FALSE)</xm:f>
            <x14:dxf>
              <font>
                <b/>
                <i val="0"/>
                <color auto="1"/>
              </font>
              <fill>
                <patternFill>
                  <bgColor rgb="FF66FF33"/>
                </patternFill>
              </fill>
            </x14:dxf>
          </x14:cfRule>
          <xm:sqref>A3:B3</xm:sqref>
        </x14:conditionalFormatting>
        <x14:conditionalFormatting xmlns:xm="http://schemas.microsoft.com/office/excel/2006/main">
          <x14:cfRule type="expression" priority="78" id="{1E43703A-D921-47C3-9C50-8F149B21AA5B}">
            <xm:f>IF(C5='Borrowing expenses'!E27,TRUE,FALSE)</xm:f>
            <x14:dxf>
              <fill>
                <patternFill>
                  <bgColor rgb="FF99FF66"/>
                </patternFill>
              </fill>
            </x14:dxf>
          </x14:cfRule>
          <xm:sqref>C5:C10</xm:sqref>
        </x14:conditionalFormatting>
        <x14:conditionalFormatting xmlns:xm="http://schemas.microsoft.com/office/excel/2006/main">
          <x14:cfRule type="expression" priority="87" id="{96475969-3771-4A9F-A159-740445402C35}">
            <xm:f>-IF(C13='Borrowing expenses'!E36,TRUE,FALSE)</xm:f>
            <x14:dxf>
              <fill>
                <patternFill>
                  <bgColor rgb="FF99FF66"/>
                </patternFill>
              </fill>
            </x14:dxf>
          </x14:cfRule>
          <xm:sqref>C13:C20</xm:sqref>
        </x14:conditionalFormatting>
        <x14:conditionalFormatting xmlns:xm="http://schemas.microsoft.com/office/excel/2006/main">
          <x14:cfRule type="expression" priority="329" id="{C039A8FC-4A8C-4CA1-9F7F-34CFFAAA8B3E}">
            <xm:f>IF($C$21='Reference module'!$D$1182,TRUE,FALSE)</xm:f>
            <x14:dxf>
              <fill>
                <patternFill>
                  <bgColor rgb="FF99FF66"/>
                </patternFill>
              </fill>
            </x14:dxf>
          </x14:cfRule>
          <xm:sqref>C21</xm:sqref>
        </x14:conditionalFormatting>
        <x14:conditionalFormatting xmlns:xm="http://schemas.microsoft.com/office/excel/2006/main">
          <x14:cfRule type="expression" priority="332" id="{1FEDA248-1E01-4A66-8797-FFDEC63F5F77}">
            <xm:f>IF('Borrowing expenses'!J30="No",TRUE,FALSE)</xm:f>
            <x14:dxf>
              <font>
                <b/>
                <i val="0"/>
                <color auto="1"/>
              </font>
              <fill>
                <patternFill>
                  <bgColor rgb="FF66FF33"/>
                </patternFill>
              </fill>
            </x14:dxf>
          </x14:cfRule>
          <xm:sqref>E3</xm:sqref>
        </x14:conditionalFormatting>
        <x14:conditionalFormatting xmlns:xm="http://schemas.microsoft.com/office/excel/2006/main">
          <x14:cfRule type="expression" priority="266" id="{1FEDA248-1E01-4A66-8797-FFDEC63F5F77}">
            <xm:f>IF('Borrowing expenses'!R30="No",TRUE,FALSE)</xm:f>
            <x14:dxf>
              <font>
                <b/>
                <i val="0"/>
                <color auto="1"/>
              </font>
              <fill>
                <patternFill>
                  <bgColor rgb="FF66FF33"/>
                </patternFill>
              </fill>
            </x14:dxf>
          </x14:cfRule>
          <xm:sqref>K3 N3:P3</xm:sqref>
        </x14:conditionalFormatting>
      </x14:conditionalFormattings>
    </ext>
    <ext xmlns:x14="http://schemas.microsoft.com/office/spreadsheetml/2009/9/main" uri="{CCE6A557-97BC-4b89-ADB6-D9C93CAAB3DF}">
      <x14:dataValidations xmlns:xm="http://schemas.microsoft.com/office/excel/2006/main" count="1">
        <x14:dataValidation type="decimal" errorStyle="warning" allowBlank="1" showInputMessage="1" showErrorMessage="1" errorTitle="Please check this amount." error="Stamp duty on mortgage registration is:_x000a_- different to the stamp duty charged by your state government on transfer of your property._x000a_- usually no more than a few hundred dollars and would have been passed on by your lender." xr:uid="{57B0D9F5-7716-40FF-A491-742362FAEA5E}">
          <x14:formula1>
            <xm:f>'Reference module'!C736</xm:f>
          </x14:formula1>
          <x14:formula2>
            <xm:f>'Reference module'!C737</xm:f>
          </x14:formula2>
          <xm:sqref>C21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3C3E85201266D47839C62867F5ECD30" ma:contentTypeVersion="20" ma:contentTypeDescription="Create a new document." ma:contentTypeScope="" ma:versionID="66fc777d0c210581a112f2bcd8d3f9cb">
  <xsd:schema xmlns:xsd="http://www.w3.org/2001/XMLSchema" xmlns:xs="http://www.w3.org/2001/XMLSchema" xmlns:p="http://schemas.microsoft.com/office/2006/metadata/properties" xmlns:ns2="409ccca7-de7a-4de7-a1fb-3fe776a28a85" xmlns:ns3="c91bf042-0ec8-4465-aff1-5bc4c84cfed7" targetNamespace="http://schemas.microsoft.com/office/2006/metadata/properties" ma:root="true" ma:fieldsID="3f814e90e34ec0a1e47619602e72b390" ns2:_="" ns3:_="">
    <xsd:import namespace="409ccca7-de7a-4de7-a1fb-3fe776a28a85"/>
    <xsd:import namespace="c91bf042-0ec8-4465-aff1-5bc4c84cfe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DocumentStatus" minOccurs="0"/>
                <xsd:element ref="ns2:DocumentStatus0" minOccurs="0"/>
                <xsd:element ref="ns2:Comments" minOccurs="0"/>
                <xsd:element ref="ns2:BSLOwner" minOccurs="0"/>
                <xsd:element ref="ns2:ProofNumber" minOccurs="0"/>
                <xsd:element ref="ns2:Change" minOccurs="0"/>
                <xsd:element ref="ns2:CorrespondingForman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9ccca7-de7a-4de7-a1fb-3fe776a28a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d3d766a-8f2e-4101-b24c-d4a22e3f1d1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DocumentStatus" ma:index="18" nillable="true" ma:displayName="DPO" ma:format="Dropdown" ma:internalName="DocumentStatus">
      <xsd:simpleType>
        <xsd:restriction base="dms:Choice">
          <xsd:enumeration value="n/a"/>
          <xsd:enumeration value="Not ready"/>
          <xsd:enumeration value="Draft BSL approved"/>
          <xsd:enumeration value="Final BSL approved"/>
          <xsd:enumeration value="Ready"/>
        </xsd:restriction>
      </xsd:simpleType>
    </xsd:element>
    <xsd:element name="DocumentStatus0" ma:index="19" nillable="true" ma:displayName="Document status" ma:format="Dropdown" ma:internalName="DocumentStatus0">
      <xsd:simpleType>
        <xsd:restriction base="dms:Choice">
          <xsd:enumeration value="Draft"/>
          <xsd:enumeration value="BSL review"/>
          <xsd:enumeration value="Sent to Creative Services"/>
          <xsd:enumeration value="TCN review"/>
          <xsd:enumeration value="MISC"/>
          <xsd:enumeration value="Sent for endorsement"/>
          <xsd:enumeration value="Watching Brief"/>
          <xsd:enumeration value="IAI review"/>
          <xsd:enumeration value="Ready to send for endorsement"/>
          <xsd:enumeration value="ENDORSED"/>
          <xsd:enumeration value="Published"/>
          <xsd:enumeration value="Final artwork requested from CS"/>
          <xsd:enumeration value="Final artwork received from CS"/>
          <xsd:enumeration value="FINAL"/>
        </xsd:restriction>
      </xsd:simpleType>
    </xsd:element>
    <xsd:element name="Comments" ma:index="20" nillable="true" ma:displayName="Comments" ma:description="Comments about the line of data" ma:format="Dropdown" ma:internalName="Comments">
      <xsd:simpleType>
        <xsd:restriction base="dms:Text">
          <xsd:maxLength value="255"/>
        </xsd:restriction>
      </xsd:simpleType>
    </xsd:element>
    <xsd:element name="BSLOwner" ma:index="21" nillable="true" ma:displayName="BSL Owner" ma:description="Name of BSL that reviews the content" ma:format="Dropdown" ma:internalName="BSLOwner">
      <xsd:simpleType>
        <xsd:restriction base="dms:Note">
          <xsd:maxLength value="255"/>
        </xsd:restriction>
      </xsd:simpleType>
    </xsd:element>
    <xsd:element name="ProofNumber" ma:index="22" nillable="true" ma:displayName="Current Proof Version" ma:description="Proof version number" ma:format="Dropdown" ma:internalName="ProofNumber">
      <xsd:simpleType>
        <xsd:restriction base="dms:Text">
          <xsd:maxLength value="255"/>
        </xsd:restriction>
      </xsd:simpleType>
    </xsd:element>
    <xsd:element name="Change" ma:index="23" nillable="true" ma:displayName="Change Type" ma:description="Cyclical or Signficant" ma:format="Dropdown" ma:internalName="Change">
      <xsd:simpleType>
        <xsd:restriction base="dms:Choice">
          <xsd:enumeration value="Cyclical"/>
          <xsd:enumeration value="Significant"/>
          <xsd:enumeration value="N/A"/>
        </xsd:restriction>
      </xsd:simpleType>
    </xsd:element>
    <xsd:element name="CorrespondingFormandStatus" ma:index="24" nillable="true" ma:displayName="Form and Status" ma:description="Corresponding Form and Status" ma:format="Dropdown" ma:internalName="CorrespondingFormandStatu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1bf042-0ec8-4465-aff1-5bc4c84cfe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1d1619a-7a12-4e0c-8d89-148d2a45577e}" ma:internalName="TaxCatchAll" ma:showField="CatchAllData" ma:web="c91bf042-0ec8-4465-aff1-5bc4c84cfe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09ccca7-de7a-4de7-a1fb-3fe776a28a85">
      <Terms xmlns="http://schemas.microsoft.com/office/infopath/2007/PartnerControls"/>
    </lcf76f155ced4ddcb4097134ff3c332f>
    <DocumentStatus0 xmlns="409ccca7-de7a-4de7-a1fb-3fe776a28a85">ENDORSED</DocumentStatus0>
    <CorrespondingFormandStatus xmlns="409ccca7-de7a-4de7-a1fb-3fe776a28a85" xsi:nil="true"/>
    <TaxCatchAll xmlns="c91bf042-0ec8-4465-aff1-5bc4c84cfed7" xsi:nil="true"/>
    <BSLOwner xmlns="409ccca7-de7a-4de7-a1fb-3fe776a28a85" xsi:nil="true"/>
    <ProofNumber xmlns="409ccca7-de7a-4de7-a1fb-3fe776a28a85" xsi:nil="true"/>
    <Comments xmlns="409ccca7-de7a-4de7-a1fb-3fe776a28a85" xsi:nil="true"/>
    <Change xmlns="409ccca7-de7a-4de7-a1fb-3fe776a28a85" xsi:nil="true"/>
    <DocumentStatus xmlns="409ccca7-de7a-4de7-a1fb-3fe776a28a85">Ready</DocumentStatus>
  </documentManagement>
</p:properties>
</file>

<file path=customXml/itemProps1.xml><?xml version="1.0" encoding="utf-8"?>
<ds:datastoreItem xmlns:ds="http://schemas.openxmlformats.org/officeDocument/2006/customXml" ds:itemID="{552A29B5-8B8C-4505-9B23-3CC4CBD13297}">
  <ds:schemaRefs>
    <ds:schemaRef ds:uri="http://schemas.microsoft.com/sharepoint/v3/contenttype/forms"/>
  </ds:schemaRefs>
</ds:datastoreItem>
</file>

<file path=customXml/itemProps2.xml><?xml version="1.0" encoding="utf-8"?>
<ds:datastoreItem xmlns:ds="http://schemas.openxmlformats.org/officeDocument/2006/customXml" ds:itemID="{2B3116A8-3474-453B-BF93-4609C3CC77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9ccca7-de7a-4de7-a1fb-3fe776a28a85"/>
    <ds:schemaRef ds:uri="c91bf042-0ec8-4465-aff1-5bc4c84cfe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ACB1F48-0532-4209-AEF6-D32716D9B85D}">
  <ds:schemaRefs>
    <ds:schemaRef ds:uri="http://schemas.microsoft.com/office/infopath/2007/PartnerControls"/>
    <ds:schemaRef ds:uri="http://purl.org/dc/elements/1.1/"/>
    <ds:schemaRef ds:uri="http://schemas.microsoft.com/office/2006/metadata/properties"/>
    <ds:schemaRef ds:uri="409ccca7-de7a-4de7-a1fb-3fe776a28a85"/>
    <ds:schemaRef ds:uri="http://purl.org/dc/terms/"/>
    <ds:schemaRef ds:uri="http://schemas.microsoft.com/office/2006/documentManagement/types"/>
    <ds:schemaRef ds:uri="http://schemas.openxmlformats.org/package/2006/metadata/core-properties"/>
    <ds:schemaRef ds:uri="c91bf042-0ec8-4465-aff1-5bc4c84cfed7"/>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Borrowing expenses</vt:lpstr>
      <vt:lpstr>Version control and about</vt:lpstr>
      <vt:lpstr>Reference module</vt:lpstr>
      <vt:lpstr>Test module</vt:lpstr>
      <vt:lpstr>'Borrowing expenses'!Print_Area</vt:lpstr>
      <vt:lpstr>'Borrowing expenses'!Print_Titles</vt:lpstr>
      <vt:lpstr>RowTitle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2020-08-12T05:35:06Z</dcterms:created>
  <dcterms:modified xsi:type="dcterms:W3CDTF">2026-04-19T23:46:16Z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0x01010063C3E85201266D47839C62867F5ECD30</vt:lpwstr>
  </property>
  <property fmtid="{D5CDD505-2E9C-101B-9397-08002B2CF9AE}" pid="3" name="ItemRetentionFormula">
    <vt:lpwstr>&lt;formula id="Microsoft.Office.RecordsManagement.PolicyFeatures.Expiration.Formula.BuiltIn"&gt;&lt;number&gt;10&lt;/number&gt;&lt;property&gt;Modified&lt;/property&gt;&lt;propertyId&gt;28cf69c5-fa48-462a-b5cd-27b6f9d2bd5f&lt;/propertyId&gt;&lt;period&gt;years&lt;/period&gt;&lt;/formula&gt;</vt:lpwstr>
  </property>
  <property fmtid="{D5CDD505-2E9C-101B-9397-08002B2CF9AE}" pid="4" name="_dlc_policyId">
    <vt:lpwstr>0x010100B30DF7BEBD3A1648A538EADBC70DC308|1060299444</vt:lpwstr>
  </property>
  <property fmtid="{D5CDD505-2E9C-101B-9397-08002B2CF9AE}" pid="5" name="_dlc_DocIdItemGuid">
    <vt:lpwstr>c6037cd3-e650-40f7-94ff-4ff94261906f</vt:lpwstr>
  </property>
  <property fmtid="{D5CDD505-2E9C-101B-9397-08002B2CF9AE}" pid="6" name="Security classification">
    <vt:lpwstr>1;#OFFICIAL|5d128361-bbb7-4b9a-ac60-b26612a0ec1b</vt:lpwstr>
  </property>
  <property fmtid="{D5CDD505-2E9C-101B-9397-08002B2CF9AE}" pid="7" name="MSIP_Label_c111c204-3025-4293-a668-517002c3f023_Enabled">
    <vt:lpwstr>True</vt:lpwstr>
  </property>
  <property fmtid="{D5CDD505-2E9C-101B-9397-08002B2CF9AE}" pid="8" name="MSIP_Label_c111c204-3025-4293-a668-517002c3f023_SiteId">
    <vt:lpwstr>8e823e99-cbcb-430f-a0f6-af1365c21e22</vt:lpwstr>
  </property>
  <property fmtid="{D5CDD505-2E9C-101B-9397-08002B2CF9AE}" pid="9" name="MSIP_Label_c111c204-3025-4293-a668-517002c3f023_SetDate">
    <vt:lpwstr>2025-05-12T02:38:38Z</vt:lpwstr>
  </property>
  <property fmtid="{D5CDD505-2E9C-101B-9397-08002B2CF9AE}" pid="10" name="MSIP_Label_c111c204-3025-4293-a668-517002c3f023_Name">
    <vt:lpwstr>OFFICIAL</vt:lpwstr>
  </property>
  <property fmtid="{D5CDD505-2E9C-101B-9397-08002B2CF9AE}" pid="11" name="MSIP_Label_c111c204-3025-4293-a668-517002c3f023_ActionId">
    <vt:lpwstr>127b18f8-a1c8-47eb-bebb-3aef630c312e</vt:lpwstr>
  </property>
  <property fmtid="{D5CDD505-2E9C-101B-9397-08002B2CF9AE}" pid="12" name="MSIP_Label_c111c204-3025-4293-a668-517002c3f023_Removed">
    <vt:lpwstr>False</vt:lpwstr>
  </property>
  <property fmtid="{D5CDD505-2E9C-101B-9397-08002B2CF9AE}" pid="13" name="MSIP_Label_c111c204-3025-4293-a668-517002c3f023_Extended_MSFT_Method">
    <vt:lpwstr>Privileged</vt:lpwstr>
  </property>
  <property fmtid="{D5CDD505-2E9C-101B-9397-08002B2CF9AE}" pid="14" name="Sensitivity">
    <vt:lpwstr>OFFICIAL</vt:lpwstr>
  </property>
  <property fmtid="{D5CDD505-2E9C-101B-9397-08002B2CF9AE}" pid="15" name="MediaServiceImageTags">
    <vt:lpwstr/>
  </property>
</Properties>
</file>