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codeName="ThisWorkbook" defaultThemeVersion="166925"/>
  <xr:revisionPtr revIDLastSave="0" documentId="8_{EEA59BB1-8402-4201-93DE-5FE6C2F8D316}" xr6:coauthVersionLast="46" xr6:coauthVersionMax="46" xr10:uidLastSave="{00000000-0000-0000-0000-000000000000}"/>
  <workbookProtection workbookAlgorithmName="SHA-256" workbookHashValue="rwQOuj5cSRKBBU1IrjzA+ojO+XNtd5Jc7/YKk0cOaXQ=" workbookSaltValue="azyQd5lHCv9Qrd96jKFkyA==" workbookSpinCount="100000" lockStructure="1"/>
  <bookViews>
    <workbookView xWindow="510" yWindow="810" windowWidth="15000" windowHeight="16245" xr2:uid="{00000000-000D-0000-FFFF-FFFF00000000}"/>
  </bookViews>
  <sheets>
    <sheet name="Data" sheetId="1" r:id="rId1"/>
    <sheet name="Tax consequences" sheetId="2" r:id="rId2"/>
    <sheet name="Sheet1" sheetId="3" state="hidden" r:id="rId3"/>
  </sheets>
  <definedNames>
    <definedName name="editRange">Data!$C$26:$D$45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E41" i="1" l="1"/>
  <c r="F41" i="1"/>
  <c r="G41" i="1" s="1"/>
  <c r="E42" i="1"/>
  <c r="F42" i="1"/>
  <c r="G42" i="1" s="1"/>
  <c r="E43" i="1"/>
  <c r="F43" i="1"/>
  <c r="G43" i="1" s="1"/>
  <c r="E44" i="1"/>
  <c r="F44" i="1"/>
  <c r="G44" i="1" s="1"/>
  <c r="C47" i="1"/>
  <c r="A18" i="2" l="1"/>
  <c r="B39" i="2" l="1"/>
  <c r="B21" i="2" l="1"/>
  <c r="B14" i="2"/>
  <c r="H26" i="1"/>
  <c r="H27" i="1"/>
  <c r="H28" i="1"/>
  <c r="H29" i="1"/>
  <c r="H30" i="1"/>
  <c r="H31" i="1"/>
  <c r="H32" i="1"/>
  <c r="H33" i="1"/>
  <c r="H34" i="1"/>
  <c r="H35" i="1"/>
  <c r="H36" i="1"/>
  <c r="H37" i="1"/>
  <c r="E37" i="1" s="1"/>
  <c r="H38" i="1"/>
  <c r="H39" i="1"/>
  <c r="H40" i="1"/>
  <c r="E40" i="1" s="1"/>
  <c r="H45" i="1"/>
  <c r="B16" i="1"/>
  <c r="D19" i="1"/>
  <c r="A46" i="1" l="1"/>
  <c r="C56" i="1"/>
  <c r="B61" i="1" l="1"/>
  <c r="B20" i="2"/>
  <c r="A31" i="2"/>
  <c r="A37" i="2"/>
  <c r="B13" i="2"/>
  <c r="A10" i="2"/>
  <c r="A3" i="2"/>
  <c r="B4" i="1"/>
  <c r="B21" i="1"/>
  <c r="B11" i="1"/>
  <c r="B3" i="1"/>
  <c r="B1" i="1"/>
  <c r="B19" i="1"/>
  <c r="B17" i="1"/>
  <c r="B60" i="1"/>
  <c r="B59" i="1"/>
  <c r="B58" i="1"/>
  <c r="B57" i="1"/>
  <c r="B56" i="1"/>
  <c r="B54" i="1"/>
  <c r="B55" i="1"/>
  <c r="F45" i="1" l="1"/>
  <c r="G45" i="1" s="1"/>
  <c r="E45" i="1"/>
  <c r="F40" i="1"/>
  <c r="G40" i="1" s="1"/>
  <c r="F39" i="1"/>
  <c r="G39" i="1" s="1"/>
  <c r="E39" i="1"/>
  <c r="F38" i="1"/>
  <c r="G38" i="1" s="1"/>
  <c r="E38" i="1"/>
  <c r="G37" i="1"/>
  <c r="F37" i="1"/>
  <c r="F36" i="1"/>
  <c r="G36" i="1" s="1"/>
  <c r="E36" i="1"/>
  <c r="F35" i="1"/>
  <c r="G35" i="1" s="1"/>
  <c r="E35" i="1"/>
  <c r="F34" i="1"/>
  <c r="G34" i="1" s="1"/>
  <c r="E34" i="1"/>
  <c r="F33" i="1"/>
  <c r="G33" i="1" s="1"/>
  <c r="E33" i="1"/>
  <c r="F32" i="1"/>
  <c r="G32" i="1" s="1"/>
  <c r="E32" i="1"/>
  <c r="F31" i="1"/>
  <c r="G31" i="1" s="1"/>
  <c r="E31" i="1"/>
  <c r="D18" i="1" l="1"/>
  <c r="E30" i="1" l="1"/>
  <c r="F30" i="1"/>
  <c r="G30" i="1" s="1"/>
  <c r="A8" i="1"/>
  <c r="A7" i="1"/>
  <c r="E29" i="1" l="1"/>
  <c r="F29" i="1"/>
  <c r="G29" i="1" s="1"/>
  <c r="F28" i="1"/>
  <c r="G28" i="1" s="1"/>
  <c r="E28" i="1"/>
  <c r="E27" i="1"/>
  <c r="F27" i="1"/>
  <c r="G27" i="1" s="1"/>
  <c r="E26" i="1"/>
  <c r="F26" i="1"/>
  <c r="G26" i="1" s="1"/>
  <c r="H47" i="1" l="1"/>
  <c r="B18" i="1"/>
  <c r="A12" i="1"/>
  <c r="A11" i="1"/>
  <c r="A9" i="1"/>
  <c r="A10" i="1"/>
  <c r="C57" i="1" l="1"/>
  <c r="A20" i="1"/>
  <c r="H13" i="2"/>
  <c r="I29" i="2" l="1"/>
  <c r="C6" i="2"/>
  <c r="H14" i="2" s="1"/>
  <c r="I14" i="2" s="1"/>
  <c r="A2" i="2"/>
  <c r="A33" i="2"/>
  <c r="I27" i="2" l="1"/>
  <c r="I37" i="2"/>
  <c r="I32" i="2"/>
  <c r="I13" i="2"/>
  <c r="H21" i="2" l="1"/>
  <c r="I21" i="2" s="1"/>
  <c r="B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9" authorId="0" shapeId="0" xr:uid="{00000000-0006-0000-0000-000001000000}">
      <text>
        <r>
          <rPr>
            <sz val="9"/>
            <color indexed="81"/>
            <rFont val="Tahoma"/>
            <family val="2"/>
          </rPr>
          <t>This would have happened automatically if you were an Ineligible Overseas Shareholder, or at your option if you were a Small Shareholder.</t>
        </r>
      </text>
    </comment>
  </commentList>
</comments>
</file>

<file path=xl/sharedStrings.xml><?xml version="1.0" encoding="utf-8"?>
<sst xmlns="http://schemas.openxmlformats.org/spreadsheetml/2006/main" count="75" uniqueCount="73">
  <si>
    <t>Yes</t>
  </si>
  <si>
    <t>No</t>
  </si>
  <si>
    <t>Parcel 1</t>
  </si>
  <si>
    <t>Parcel 2</t>
  </si>
  <si>
    <t>Parcel 3</t>
  </si>
  <si>
    <t>Parcel 4</t>
  </si>
  <si>
    <t>Parcel 5</t>
  </si>
  <si>
    <t>Parcel 6</t>
  </si>
  <si>
    <t>Parcel 7</t>
  </si>
  <si>
    <t>Parcel 8</t>
  </si>
  <si>
    <t>Parcel 9</t>
  </si>
  <si>
    <t>Parcel 10</t>
  </si>
  <si>
    <t>No. shares</t>
  </si>
  <si>
    <t>Cost base/share</t>
  </si>
  <si>
    <t>Total post-CGT shares</t>
  </si>
  <si>
    <t>Post-CGT</t>
  </si>
  <si>
    <t>Cost base of parcel</t>
  </si>
  <si>
    <t>Income tax consequences of demerger</t>
  </si>
  <si>
    <t>Quantity</t>
  </si>
  <si>
    <t>First element of cost base/reduced cost base per share</t>
  </si>
  <si>
    <t>(2) you held your shares on capital account, and</t>
  </si>
  <si>
    <t>What this spreadsheet is for</t>
  </si>
  <si>
    <t>Instructions</t>
  </si>
  <si>
    <t xml:space="preserve">To work out the correct results, you must:  </t>
  </si>
  <si>
    <t>(1) answer the following questions by clicking on 'No' or 'Yes', and</t>
  </si>
  <si>
    <t>Total cost base of post-CGT shares</t>
  </si>
  <si>
    <t>None of this amount in included in your assessable income or exempt income.</t>
  </si>
  <si>
    <t>Date acquired</t>
  </si>
  <si>
    <t>Status</t>
  </si>
  <si>
    <t>Share category</t>
  </si>
  <si>
    <t>Share parcel</t>
  </si>
  <si>
    <t>Data about the demerger*</t>
  </si>
  <si>
    <t>*This is pre-filled data</t>
  </si>
  <si>
    <t>Input error messages</t>
  </si>
  <si>
    <t>Are you an Australian resident?</t>
  </si>
  <si>
    <t>Answer the following questions</t>
  </si>
  <si>
    <t>The capital component of the distribution, which is a return of capital to you, is:</t>
  </si>
  <si>
    <t>Parcel 11</t>
  </si>
  <si>
    <t>Parcel 12</t>
  </si>
  <si>
    <t>Parcel 13</t>
  </si>
  <si>
    <t>Parcel 14</t>
  </si>
  <si>
    <t>Parcel 15</t>
  </si>
  <si>
    <t>Parcel 16</t>
  </si>
  <si>
    <t>The resulting capital gain you must take into account in working out your net capital gain or net capital loss (if any) is:</t>
  </si>
  <si>
    <t>(1) the number of shares in the parcel in the 'No. shares' column</t>
  </si>
  <si>
    <t>Date of demerger</t>
  </si>
  <si>
    <t>Short name of head entity of demerger group</t>
  </si>
  <si>
    <t>Short name of demerged entity</t>
  </si>
  <si>
    <t>Full name of head entity of demerger group</t>
  </si>
  <si>
    <t>Record date</t>
  </si>
  <si>
    <t>Record time</t>
  </si>
  <si>
    <t>Cap. Gain/parcel*</t>
  </si>
  <si>
    <t>Cap. Gain/share*</t>
  </si>
  <si>
    <t>*Depending on your circumstances, some or all capital gains shown in this table may be disregarded. See the 'Tax Consequences' sheet.</t>
  </si>
  <si>
    <t>Full name of demerged entity</t>
  </si>
  <si>
    <t>Endeavour</t>
  </si>
  <si>
    <t>Woolworths</t>
  </si>
  <si>
    <t>Woolworths Group Limited</t>
  </si>
  <si>
    <t>Endeavour Group Limited</t>
  </si>
  <si>
    <t>7:00pm</t>
  </si>
  <si>
    <t>COST BASE ADJUSTMENTS</t>
  </si>
  <si>
    <t>DATE OF ACQUISITION</t>
  </si>
  <si>
    <t>CAPITAL GAINS</t>
  </si>
  <si>
    <t>The capital gains tax consequences are:</t>
  </si>
  <si>
    <t>DIVIDEND</t>
  </si>
  <si>
    <r>
      <t xml:space="preserve">(3) the taxation of financial arrangements (TOFA) rules in Division 230 of the </t>
    </r>
    <r>
      <rPr>
        <i/>
        <sz val="11"/>
        <color theme="1"/>
        <rFont val="Arial"/>
        <family val="2"/>
      </rPr>
      <t xml:space="preserve">Income Tax Assessment Act 1997 </t>
    </r>
    <r>
      <rPr>
        <sz val="11"/>
        <color theme="1"/>
        <rFont val="Arial"/>
        <family val="2"/>
      </rPr>
      <t>don't apply to you in relation to the demerger.</t>
    </r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</si>
  <si>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If you are an individual, the TOFA rules will not generally apply to you unless you have made an election for them to apply.</t>
    </r>
  </si>
  <si>
    <r>
      <t xml:space="preserve">(2) the cost base per share of the parcel </t>
    </r>
    <r>
      <rPr>
        <b/>
        <sz val="11"/>
        <color theme="1"/>
        <rFont val="Arial"/>
        <family val="2"/>
      </rPr>
      <t>just before</t>
    </r>
    <r>
      <rPr>
        <sz val="11"/>
        <color theme="1"/>
        <rFont val="Arial"/>
        <family val="2"/>
      </rPr>
      <t xml:space="preserve"> the demerger in the 'Cost base/share' column.</t>
    </r>
  </si>
  <si>
    <t>Parcel 17</t>
  </si>
  <si>
    <t>Parcel 18</t>
  </si>
  <si>
    <t>Parcel 19</t>
  </si>
  <si>
    <t>Parcel 20</t>
  </si>
  <si>
    <r>
      <t>Finally, check cells D16, D19 and column H (rows 26 to 45) for any error messages (</t>
    </r>
    <r>
      <rPr>
        <b/>
        <sz val="11"/>
        <color rgb="FFFF0000"/>
        <rFont val="Arial"/>
        <family val="2"/>
      </rPr>
      <t>in red</t>
    </r>
    <r>
      <rPr>
        <b/>
        <sz val="11"/>
        <color theme="1"/>
        <rFont val="Arial"/>
        <family val="2"/>
      </rPr>
      <t>) and make the necessary corrections. 
Then click on the 'Tax consequences' tab at the bottom of the spreadsheet to view the income tax consequences of the demerger.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</si>
</sst>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00"/>
    <numFmt numFmtId="165" formatCode="&quot;$&quot;#,##0.00"/>
    <numFmt numFmtId="166" formatCode="&quot;$&quot;#,##0.00;[Red]&quot;$&quot;#,##0.00"/>
    <numFmt numFmtId="167" formatCode="d/mm/yyyy;@"/>
  </numFmts>
  <fonts count="1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24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sz val="11"/>
      <color theme="0" tint="-0.34998626667073579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0" tint="-0.499984740745262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1"/>
      <color rgb="FFFFFF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theme="8" tint="0.39994506668294322"/>
      </bottom>
      <diagonal/>
    </border>
    <border>
      <left style="medium">
        <color theme="0" tint="-0.34998626667073579"/>
      </left>
      <right style="thin">
        <color auto="1"/>
      </right>
      <top/>
      <bottom style="thin">
        <color auto="1"/>
      </bottom>
      <diagonal/>
    </border>
    <border>
      <left style="medium">
        <color theme="0" tint="-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34998626667073579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double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1"/>
      </left>
      <right style="medium">
        <color theme="0" tint="-0.249977111117893"/>
      </right>
      <top style="medium">
        <color theme="0" tint="-0.249977111117893"/>
      </top>
      <bottom style="double">
        <color theme="0" tint="-0.24994659260841701"/>
      </bottom>
      <diagonal/>
    </border>
    <border>
      <left style="medium">
        <color theme="1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0" tint="-0.249977111117893"/>
      </right>
      <top style="thin">
        <color theme="0" tint="-0.24994659260841701"/>
      </top>
      <bottom style="medium">
        <color theme="0" tint="-0.249977111117893"/>
      </bottom>
      <diagonal/>
    </border>
    <border>
      <left style="medium">
        <color theme="1"/>
      </left>
      <right/>
      <top style="medium">
        <color theme="1"/>
      </top>
      <bottom style="double">
        <color auto="1"/>
      </bottom>
      <diagonal/>
    </border>
    <border>
      <left/>
      <right/>
      <top style="medium">
        <color theme="1"/>
      </top>
      <bottom style="double">
        <color auto="1"/>
      </bottom>
      <diagonal/>
    </border>
    <border>
      <left/>
      <right style="thin">
        <color auto="1"/>
      </right>
      <top style="medium">
        <color theme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double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double">
        <color auto="1"/>
      </bottom>
      <diagonal/>
    </border>
    <border>
      <left/>
      <right/>
      <top style="medium">
        <color theme="8" tint="0.39994506668294322"/>
      </top>
      <bottom/>
      <diagonal/>
    </border>
    <border>
      <left style="medium">
        <color theme="1"/>
      </left>
      <right style="medium">
        <color theme="0" tint="-0.249977111117893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0" xfId="0" applyFont="1" applyFill="1"/>
    <xf numFmtId="0" fontId="6" fillId="2" borderId="0" xfId="0" applyFont="1" applyFill="1"/>
    <xf numFmtId="0" fontId="9" fillId="2" borderId="2" xfId="0" applyFont="1" applyFill="1" applyBorder="1"/>
    <xf numFmtId="0" fontId="2" fillId="2" borderId="18" xfId="0" applyFont="1" applyFill="1" applyBorder="1"/>
    <xf numFmtId="0" fontId="6" fillId="2" borderId="0" xfId="0" applyFont="1" applyFill="1" applyProtection="1"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 shrinkToFit="1"/>
    </xf>
    <xf numFmtId="0" fontId="6" fillId="2" borderId="0" xfId="0" applyFont="1" applyFill="1" applyProtection="1"/>
    <xf numFmtId="0" fontId="7" fillId="2" borderId="0" xfId="0" applyFont="1" applyFill="1" applyAlignment="1">
      <alignment wrapText="1"/>
    </xf>
    <xf numFmtId="0" fontId="7" fillId="2" borderId="2" xfId="0" applyFont="1" applyFill="1" applyBorder="1" applyAlignment="1">
      <alignment horizontal="right" indent="3"/>
    </xf>
    <xf numFmtId="0" fontId="7" fillId="2" borderId="7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4" fontId="2" fillId="2" borderId="0" xfId="0" applyNumberFormat="1" applyFont="1" applyFill="1"/>
    <xf numFmtId="0" fontId="2" fillId="3" borderId="19" xfId="0" applyFont="1" applyFill="1" applyBorder="1"/>
    <xf numFmtId="165" fontId="2" fillId="3" borderId="10" xfId="0" applyNumberFormat="1" applyFont="1" applyFill="1" applyBorder="1"/>
    <xf numFmtId="164" fontId="2" fillId="3" borderId="10" xfId="0" applyNumberFormat="1" applyFont="1" applyFill="1" applyBorder="1"/>
    <xf numFmtId="165" fontId="2" fillId="3" borderId="2" xfId="0" applyNumberFormat="1" applyFont="1" applyFill="1" applyBorder="1"/>
    <xf numFmtId="3" fontId="2" fillId="3" borderId="2" xfId="0" applyNumberFormat="1" applyFont="1" applyFill="1" applyBorder="1"/>
    <xf numFmtId="0" fontId="2" fillId="3" borderId="24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8" xfId="0" applyFont="1" applyFill="1" applyBorder="1"/>
    <xf numFmtId="165" fontId="2" fillId="3" borderId="3" xfId="0" applyNumberFormat="1" applyFont="1" applyFill="1" applyBorder="1" applyAlignment="1">
      <alignment wrapText="1"/>
    </xf>
    <xf numFmtId="10" fontId="2" fillId="3" borderId="3" xfId="0" applyNumberFormat="1" applyFont="1" applyFill="1" applyBorder="1"/>
    <xf numFmtId="164" fontId="2" fillId="3" borderId="3" xfId="0" applyNumberFormat="1" applyFont="1" applyFill="1" applyBorder="1" applyAlignment="1">
      <alignment wrapText="1"/>
    </xf>
    <xf numFmtId="3" fontId="2" fillId="3" borderId="3" xfId="0" applyNumberFormat="1" applyFont="1" applyFill="1" applyBorder="1"/>
    <xf numFmtId="164" fontId="2" fillId="3" borderId="3" xfId="0" applyNumberFormat="1" applyFont="1" applyFill="1" applyBorder="1" applyAlignment="1">
      <alignment horizontal="right"/>
    </xf>
    <xf numFmtId="167" fontId="2" fillId="3" borderId="3" xfId="0" applyNumberFormat="1" applyFont="1" applyFill="1" applyBorder="1" applyAlignment="1">
      <alignment wrapText="1"/>
    </xf>
    <xf numFmtId="14" fontId="2" fillId="3" borderId="6" xfId="0" applyNumberFormat="1" applyFont="1" applyFill="1" applyBorder="1"/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2" fillId="2" borderId="30" xfId="0" applyFont="1" applyFill="1" applyBorder="1"/>
    <xf numFmtId="165" fontId="2" fillId="3" borderId="32" xfId="0" applyNumberFormat="1" applyFont="1" applyFill="1" applyBorder="1"/>
    <xf numFmtId="165" fontId="2" fillId="3" borderId="33" xfId="0" applyNumberFormat="1" applyFont="1" applyFill="1" applyBorder="1"/>
    <xf numFmtId="164" fontId="2" fillId="3" borderId="33" xfId="0" applyNumberFormat="1" applyFont="1" applyFill="1" applyBorder="1"/>
    <xf numFmtId="165" fontId="2" fillId="3" borderId="34" xfId="0" applyNumberFormat="1" applyFont="1" applyFill="1" applyBorder="1"/>
    <xf numFmtId="0" fontId="2" fillId="2" borderId="35" xfId="0" applyFont="1" applyFill="1" applyBorder="1"/>
    <xf numFmtId="0" fontId="10" fillId="4" borderId="36" xfId="0" applyFont="1" applyFill="1" applyBorder="1" applyAlignment="1">
      <alignment horizontal="center"/>
    </xf>
    <xf numFmtId="0" fontId="11" fillId="5" borderId="37" xfId="0" applyFont="1" applyFill="1" applyBorder="1" applyAlignment="1">
      <alignment vertical="top" wrapText="1"/>
    </xf>
    <xf numFmtId="0" fontId="11" fillId="5" borderId="37" xfId="0" applyFont="1" applyFill="1" applyBorder="1" applyAlignment="1">
      <alignment wrapText="1"/>
    </xf>
    <xf numFmtId="0" fontId="11" fillId="5" borderId="38" xfId="0" applyFont="1" applyFill="1" applyBorder="1" applyAlignment="1">
      <alignment wrapText="1"/>
    </xf>
    <xf numFmtId="0" fontId="9" fillId="2" borderId="0" xfId="0" applyFont="1" applyFill="1" applyAlignment="1"/>
    <xf numFmtId="0" fontId="13" fillId="2" borderId="0" xfId="0" applyFont="1" applyFill="1" applyAlignment="1"/>
    <xf numFmtId="0" fontId="7" fillId="2" borderId="0" xfId="0" applyFont="1" applyFill="1"/>
    <xf numFmtId="0" fontId="7" fillId="2" borderId="43" xfId="0" applyFont="1" applyFill="1" applyBorder="1"/>
    <xf numFmtId="0" fontId="7" fillId="2" borderId="0" xfId="0" applyFont="1" applyFill="1" applyBorder="1"/>
    <xf numFmtId="0" fontId="2" fillId="2" borderId="0" xfId="0" applyFont="1" applyFill="1" applyBorder="1"/>
    <xf numFmtId="0" fontId="9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Border="1" applyAlignment="1">
      <alignment wrapText="1"/>
    </xf>
    <xf numFmtId="165" fontId="2" fillId="2" borderId="0" xfId="0" applyNumberFormat="1" applyFont="1" applyFill="1" applyBorder="1"/>
    <xf numFmtId="0" fontId="9" fillId="2" borderId="25" xfId="0" applyFont="1" applyFill="1" applyBorder="1" applyAlignment="1"/>
    <xf numFmtId="0" fontId="13" fillId="2" borderId="25" xfId="0" applyFont="1" applyFill="1" applyBorder="1" applyAlignment="1">
      <alignment wrapText="1"/>
    </xf>
    <xf numFmtId="165" fontId="2" fillId="2" borderId="25" xfId="0" applyNumberFormat="1" applyFont="1" applyFill="1" applyBorder="1"/>
    <xf numFmtId="0" fontId="7" fillId="2" borderId="0" xfId="0" applyFont="1" applyFill="1" applyBorder="1" applyAlignment="1"/>
    <xf numFmtId="0" fontId="2" fillId="2" borderId="0" xfId="0" applyFont="1" applyFill="1" applyBorder="1" applyAlignment="1"/>
    <xf numFmtId="3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25" xfId="0" applyFont="1" applyFill="1" applyBorder="1"/>
    <xf numFmtId="0" fontId="2" fillId="2" borderId="25" xfId="0" applyFont="1" applyFill="1" applyBorder="1"/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Alignment="1"/>
    <xf numFmtId="0" fontId="2" fillId="2" borderId="25" xfId="0" applyFont="1" applyFill="1" applyBorder="1" applyAlignment="1"/>
    <xf numFmtId="0" fontId="7" fillId="2" borderId="0" xfId="0" applyFont="1" applyFill="1" applyAlignment="1"/>
    <xf numFmtId="0" fontId="7" fillId="2" borderId="23" xfId="0" applyFont="1" applyFill="1" applyBorder="1" applyAlignment="1"/>
    <xf numFmtId="165" fontId="2" fillId="2" borderId="0" xfId="0" applyNumberFormat="1" applyFont="1" applyFill="1"/>
    <xf numFmtId="166" fontId="2" fillId="2" borderId="0" xfId="0" applyNumberFormat="1" applyFont="1" applyFill="1"/>
    <xf numFmtId="3" fontId="2" fillId="3" borderId="34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/>
    </xf>
    <xf numFmtId="164" fontId="2" fillId="3" borderId="8" xfId="0" applyNumberFormat="1" applyFont="1" applyFill="1" applyBorder="1"/>
    <xf numFmtId="3" fontId="2" fillId="3" borderId="5" xfId="0" applyNumberFormat="1" applyFont="1" applyFill="1" applyBorder="1" applyAlignment="1">
      <alignment horizontal="center"/>
    </xf>
    <xf numFmtId="164" fontId="2" fillId="3" borderId="6" xfId="0" applyNumberFormat="1" applyFont="1" applyFill="1" applyBorder="1"/>
    <xf numFmtId="0" fontId="2" fillId="3" borderId="33" xfId="0" applyFont="1" applyFill="1" applyBorder="1" applyAlignment="1">
      <alignment horizontal="center" vertical="top"/>
    </xf>
    <xf numFmtId="0" fontId="2" fillId="3" borderId="34" xfId="0" applyFont="1" applyFill="1" applyBorder="1" applyAlignment="1">
      <alignment horizontal="center" vertical="top" wrapText="1"/>
    </xf>
    <xf numFmtId="0" fontId="7" fillId="7" borderId="44" xfId="0" applyFont="1" applyFill="1" applyBorder="1" applyAlignment="1">
      <alignment horizontal="center"/>
    </xf>
    <xf numFmtId="0" fontId="7" fillId="7" borderId="31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 wrapText="1"/>
    </xf>
    <xf numFmtId="0" fontId="7" fillId="7" borderId="42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right"/>
    </xf>
    <xf numFmtId="0" fontId="7" fillId="7" borderId="31" xfId="0" applyFont="1" applyFill="1" applyBorder="1" applyAlignment="1">
      <alignment horizontal="right"/>
    </xf>
    <xf numFmtId="3" fontId="2" fillId="8" borderId="10" xfId="0" applyNumberFormat="1" applyFont="1" applyFill="1" applyBorder="1" applyProtection="1">
      <protection locked="0"/>
    </xf>
    <xf numFmtId="164" fontId="2" fillId="8" borderId="10" xfId="0" applyNumberFormat="1" applyFont="1" applyFill="1" applyBorder="1" applyProtection="1">
      <protection locked="0"/>
    </xf>
    <xf numFmtId="0" fontId="11" fillId="5" borderId="46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7" borderId="0" xfId="0" applyFont="1" applyFill="1" applyBorder="1" applyAlignment="1">
      <alignment vertical="center" wrapText="1"/>
    </xf>
    <xf numFmtId="0" fontId="2" fillId="2" borderId="20" xfId="0" applyFont="1" applyFill="1" applyBorder="1" applyAlignment="1"/>
    <xf numFmtId="0" fontId="2" fillId="2" borderId="21" xfId="0" applyFont="1" applyFill="1" applyBorder="1" applyAlignment="1"/>
    <xf numFmtId="0" fontId="2" fillId="2" borderId="2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wrapText="1"/>
    </xf>
    <xf numFmtId="0" fontId="12" fillId="6" borderId="12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/>
    <xf numFmtId="0" fontId="2" fillId="2" borderId="0" xfId="0" applyFont="1" applyFill="1" applyAlignment="1"/>
    <xf numFmtId="0" fontId="7" fillId="2" borderId="15" xfId="0" applyFont="1" applyFill="1" applyBorder="1" applyAlignment="1"/>
    <xf numFmtId="0" fontId="2" fillId="2" borderId="16" xfId="0" applyFont="1" applyFill="1" applyBorder="1" applyAlignment="1"/>
    <xf numFmtId="0" fontId="4" fillId="2" borderId="0" xfId="0" applyFont="1" applyFill="1" applyAlignment="1">
      <alignment wrapText="1"/>
    </xf>
    <xf numFmtId="0" fontId="9" fillId="2" borderId="0" xfId="0" applyFont="1" applyFill="1" applyAlignment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/>
    <xf numFmtId="0" fontId="7" fillId="7" borderId="12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14" fillId="2" borderId="0" xfId="0" applyFont="1" applyFill="1" applyAlignment="1"/>
    <xf numFmtId="0" fontId="9" fillId="2" borderId="45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23" xfId="0" applyFont="1" applyFill="1" applyBorder="1" applyAlignment="1">
      <alignment horizontal="left" wrapText="1"/>
    </xf>
    <xf numFmtId="0" fontId="7" fillId="2" borderId="43" xfId="0" applyFont="1" applyFill="1" applyBorder="1" applyAlignment="1">
      <alignment vertical="top"/>
    </xf>
    <xf numFmtId="0" fontId="2" fillId="2" borderId="33" xfId="0" applyFont="1" applyFill="1" applyBorder="1" applyAlignment="1">
      <alignment vertical="top"/>
    </xf>
    <xf numFmtId="0" fontId="7" fillId="7" borderId="39" xfId="0" applyFont="1" applyFill="1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2" borderId="7" xfId="0" applyFont="1" applyFill="1" applyBorder="1" applyAlignment="1"/>
    <xf numFmtId="0" fontId="2" fillId="2" borderId="10" xfId="0" applyFont="1" applyFill="1" applyBorder="1" applyAlignment="1"/>
    <xf numFmtId="0" fontId="7" fillId="2" borderId="4" xfId="0" applyFont="1" applyFill="1" applyBorder="1" applyAlignment="1"/>
    <xf numFmtId="0" fontId="2" fillId="2" borderId="5" xfId="0" applyFont="1" applyFill="1" applyBorder="1" applyAlignment="1"/>
  </cellXfs>
  <cellStyles count="1">
    <cellStyle name="Normal" xfId="0" builtinId="0"/>
  </cellStyles>
  <dxfs count="11"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4" tint="0.59996337778862885"/>
        </patternFill>
      </fill>
    </dxf>
    <dxf>
      <font>
        <b/>
        <i val="0"/>
        <color theme="4" tint="-0.24994659260841701"/>
      </font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DDEBF7"/>
      <color rgb="FF9BC2E6"/>
      <color rgb="FFCCFF33"/>
      <color rgb="FFFFFF66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22" fmlaLink="A15" fmlaRange="A13:A14" sel="2" val="0"/>
</file>

<file path=xl/ctrlProps/ctrlProp2.xml><?xml version="1.0" encoding="utf-8"?>
<formControlPr xmlns="http://schemas.microsoft.com/office/spreadsheetml/2009/9/main" objectType="List" dx="22" fmlaLink="A16" fmlaRange="A9:A10" sel="1" val="0"/>
</file>

<file path=xl/ctrlProps/ctrlProp3.xml><?xml version="1.0" encoding="utf-8"?>
<formControlPr xmlns="http://schemas.microsoft.com/office/spreadsheetml/2009/9/main" objectType="List" dx="22" fmlaLink="A18" fmlaRange="A7:A8" sel="2" val="0"/>
</file>

<file path=xl/ctrlProps/ctrlProp4.xml><?xml version="1.0" encoding="utf-8"?>
<formControlPr xmlns="http://schemas.microsoft.com/office/spreadsheetml/2009/9/main" objectType="List" dx="22" fmlaLink="A19" fmlaRange="A13:A14" sel="1" val="0"/>
</file>

<file path=xl/ctrlProps/ctrlProp5.xml><?xml version="1.0" encoding="utf-8"?>
<formControlPr xmlns="http://schemas.microsoft.com/office/spreadsheetml/2009/9/main" objectType="List" dx="22" fmlaLink="A17" fmlaRange="A9:A10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9525</xdr:rowOff>
        </xdr:from>
        <xdr:to>
          <xdr:col>2</xdr:col>
          <xdr:colOff>581025</xdr:colOff>
          <xdr:row>14</xdr:row>
          <xdr:rowOff>352425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581025</xdr:colOff>
          <xdr:row>15</xdr:row>
          <xdr:rowOff>352425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0</xdr:rowOff>
        </xdr:from>
        <xdr:to>
          <xdr:col>2</xdr:col>
          <xdr:colOff>581025</xdr:colOff>
          <xdr:row>17</xdr:row>
          <xdr:rowOff>342900</xdr:rowOff>
        </xdr:to>
        <xdr:sp macro="" textlink="">
          <xdr:nvSpPr>
            <xdr:cNvPr id="1028" name="List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0</xdr:rowOff>
        </xdr:from>
        <xdr:to>
          <xdr:col>2</xdr:col>
          <xdr:colOff>581025</xdr:colOff>
          <xdr:row>18</xdr:row>
          <xdr:rowOff>323850</xdr:rowOff>
        </xdr:to>
        <xdr:sp macro="" textlink="">
          <xdr:nvSpPr>
            <xdr:cNvPr id="1040" name="List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0</xdr:rowOff>
        </xdr:from>
        <xdr:to>
          <xdr:col>2</xdr:col>
          <xdr:colOff>581025</xdr:colOff>
          <xdr:row>16</xdr:row>
          <xdr:rowOff>333375</xdr:rowOff>
        </xdr:to>
        <xdr:sp macro="" textlink="">
          <xdr:nvSpPr>
            <xdr:cNvPr id="1051" name="List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K65"/>
  <sheetViews>
    <sheetView tabSelected="1" topLeftCell="B10" zoomScaleNormal="100" workbookViewId="0">
      <selection activeCell="C26" sqref="C26"/>
    </sheetView>
  </sheetViews>
  <sheetFormatPr defaultColWidth="0" defaultRowHeight="14.25" zeroHeight="1" x14ac:dyDescent="0.2"/>
  <cols>
    <col min="1" max="1" width="14.42578125" style="1" hidden="1" customWidth="1"/>
    <col min="2" max="2" width="35.28515625" style="1" customWidth="1"/>
    <col min="3" max="3" width="17.28515625" style="1" customWidth="1"/>
    <col min="4" max="4" width="18.42578125" style="1" customWidth="1"/>
    <col min="5" max="5" width="21.5703125" style="1" customWidth="1"/>
    <col min="6" max="6" width="19.7109375" style="1" customWidth="1"/>
    <col min="7" max="7" width="21.85546875" style="1" customWidth="1"/>
    <col min="8" max="8" width="37.85546875" style="1" customWidth="1"/>
    <col min="9" max="9" width="2.85546875" style="1" customWidth="1"/>
    <col min="10" max="10" width="18.28515625" style="1" hidden="1" customWidth="1"/>
    <col min="11" max="11" width="15" style="1" hidden="1" customWidth="1"/>
    <col min="12" max="16384" width="9.140625" style="1" hidden="1"/>
  </cols>
  <sheetData>
    <row r="1" spans="1:8" ht="30" x14ac:dyDescent="0.4">
      <c r="B1" s="100" t="str">
        <f>CONCATENATE("Calculator for demerger of ",C53," from ",C52)</f>
        <v>Calculator for demerger of Endeavour from Woolworths</v>
      </c>
      <c r="C1" s="100"/>
      <c r="D1" s="100"/>
      <c r="E1" s="100"/>
      <c r="F1" s="100"/>
      <c r="G1" s="100"/>
      <c r="H1" s="100"/>
    </row>
    <row r="2" spans="1:8" ht="27" customHeight="1" x14ac:dyDescent="0.25">
      <c r="B2" s="105" t="s">
        <v>21</v>
      </c>
      <c r="C2" s="89"/>
    </row>
    <row r="3" spans="1:8" ht="29.25" customHeight="1" x14ac:dyDescent="0.2">
      <c r="B3" s="89" t="str">
        <f>CONCATENATE("This spreadsheet works out the income tax consequences for you of the demerger of ",C51," (",C53,") from ",C50," (",C52,") on ",TEXT(C64,"d mmmm yyyy")," if:")</f>
        <v>This spreadsheet works out the income tax consequences for you of the demerger of Endeavour Group Limited (Endeavour) from Woolworths Group Limited (Woolworths) on 1 July 2021 if:</v>
      </c>
      <c r="C3" s="89"/>
      <c r="D3" s="89"/>
      <c r="E3" s="89"/>
      <c r="F3" s="89"/>
      <c r="G3" s="89"/>
      <c r="H3" s="89"/>
    </row>
    <row r="4" spans="1:8" x14ac:dyDescent="0.2">
      <c r="B4" s="89" t="str">
        <f>CONCATENATE("(1) you were listed on the share register of ",C52," at ",C62," on ",TEXT(C63,"d mmmm yyyy")," (the Record Date)")</f>
        <v>(1) you were listed on the share register of Woolworths at 7:00pm on 25 June 2021 (the Record Date)</v>
      </c>
      <c r="C4" s="89"/>
      <c r="D4" s="89"/>
      <c r="E4" s="89"/>
      <c r="F4" s="89"/>
      <c r="G4" s="89"/>
      <c r="H4" s="89"/>
    </row>
    <row r="5" spans="1:8" x14ac:dyDescent="0.2">
      <c r="B5" s="89" t="s">
        <v>20</v>
      </c>
      <c r="C5" s="89"/>
      <c r="D5" s="89"/>
      <c r="E5" s="89"/>
      <c r="F5" s="89"/>
      <c r="G5" s="89"/>
      <c r="H5" s="89"/>
    </row>
    <row r="6" spans="1:8" x14ac:dyDescent="0.2">
      <c r="B6" s="89" t="s">
        <v>65</v>
      </c>
      <c r="C6" s="89"/>
      <c r="D6" s="89"/>
      <c r="E6" s="89"/>
      <c r="F6" s="89"/>
      <c r="G6" s="89"/>
      <c r="H6" s="89"/>
    </row>
    <row r="7" spans="1:8" x14ac:dyDescent="0.2">
      <c r="A7" s="2" t="str">
        <f>IF(OR($A$15=2,$A$16=2),"No","")</f>
        <v>No</v>
      </c>
      <c r="B7" s="89" t="s">
        <v>66</v>
      </c>
      <c r="C7" s="89"/>
      <c r="D7" s="89"/>
      <c r="E7" s="89"/>
      <c r="F7" s="89"/>
      <c r="G7" s="89"/>
      <c r="H7" s="89"/>
    </row>
    <row r="8" spans="1:8" ht="26.25" customHeight="1" x14ac:dyDescent="0.25">
      <c r="A8" s="2" t="str">
        <f>IF(OR($A$15=2,$A$16=2),"Yes","")</f>
        <v>Yes</v>
      </c>
      <c r="B8" s="101" t="s">
        <v>22</v>
      </c>
      <c r="C8" s="102"/>
      <c r="D8" s="102"/>
      <c r="E8" s="102"/>
      <c r="F8" s="102"/>
      <c r="G8" s="102"/>
      <c r="H8" s="102"/>
    </row>
    <row r="9" spans="1:8" x14ac:dyDescent="0.2">
      <c r="A9" s="2" t="str">
        <f>IF($A$15=2,"","No")</f>
        <v/>
      </c>
      <c r="B9" s="89" t="s">
        <v>23</v>
      </c>
      <c r="C9" s="89"/>
      <c r="D9" s="89"/>
      <c r="E9" s="89"/>
      <c r="F9" s="89"/>
      <c r="G9" s="89"/>
      <c r="H9" s="89"/>
    </row>
    <row r="10" spans="1:8" x14ac:dyDescent="0.2">
      <c r="A10" s="2" t="str">
        <f>IF($A$15=2,"","Yes")</f>
        <v/>
      </c>
      <c r="B10" s="89" t="s">
        <v>24</v>
      </c>
      <c r="C10" s="89"/>
      <c r="D10" s="89"/>
      <c r="E10" s="89"/>
      <c r="F10" s="89"/>
      <c r="G10" s="89"/>
      <c r="H10" s="89"/>
    </row>
    <row r="11" spans="1:8" x14ac:dyDescent="0.2">
      <c r="A11" s="2" t="str">
        <f>IF($A$19=2,"No","")</f>
        <v/>
      </c>
      <c r="B11" s="89" t="str">
        <f>CONCATENATE("(2) enter information about your ",C52," shares, as indicated below.")</f>
        <v>(2) enter information about your Woolworths shares, as indicated below.</v>
      </c>
      <c r="C11" s="89"/>
      <c r="D11" s="89"/>
      <c r="E11" s="89"/>
      <c r="F11" s="89"/>
      <c r="G11" s="89"/>
      <c r="H11" s="89"/>
    </row>
    <row r="12" spans="1:8" ht="30" customHeight="1" x14ac:dyDescent="0.25">
      <c r="A12" s="2" t="str">
        <f>IF($A$19=2,"Yes","")</f>
        <v/>
      </c>
      <c r="B12" s="88" t="s">
        <v>72</v>
      </c>
      <c r="C12" s="89"/>
      <c r="D12" s="89"/>
      <c r="E12" s="89"/>
      <c r="F12" s="89"/>
      <c r="G12" s="89"/>
      <c r="H12" s="89"/>
    </row>
    <row r="13" spans="1:8" x14ac:dyDescent="0.2">
      <c r="A13" s="2" t="s">
        <v>1</v>
      </c>
      <c r="B13" s="91"/>
      <c r="C13" s="91"/>
    </row>
    <row r="14" spans="1:8" ht="15" x14ac:dyDescent="0.25">
      <c r="A14" s="2" t="s">
        <v>0</v>
      </c>
      <c r="B14" s="3" t="s">
        <v>35</v>
      </c>
      <c r="C14" s="4"/>
    </row>
    <row r="15" spans="1:8" ht="36.75" customHeight="1" x14ac:dyDescent="0.2">
      <c r="A15" s="5">
        <v>2</v>
      </c>
      <c r="B15" s="6" t="s">
        <v>34</v>
      </c>
      <c r="C15" s="16"/>
    </row>
    <row r="16" spans="1:8" ht="58.5" customHeight="1" x14ac:dyDescent="0.2">
      <c r="A16" s="5">
        <v>1</v>
      </c>
      <c r="B16" s="7" t="str">
        <f>IF($A$15=2,"",CONCATENATE("Were your ",C53," shares taxable Australian property just after you acquired them?"))</f>
        <v/>
      </c>
      <c r="C16" s="16"/>
      <c r="D16" s="93" t="str">
        <f>IF(AND($A$15=1,$A$16=2,$A$19=2),"If your Endeavour shares were sold under the Sale Facility, they cannot be taxable Australian property just after you acquired them. You should answer 'No' to this question.","")</f>
        <v/>
      </c>
      <c r="E16" s="94"/>
      <c r="F16" s="94"/>
      <c r="G16" s="94"/>
    </row>
    <row r="17" spans="1:8" ht="37.5" customHeight="1" x14ac:dyDescent="0.2">
      <c r="A17" s="5">
        <v>1</v>
      </c>
      <c r="B17" s="7" t="str">
        <f>IF($A$15=2,"",CONCATENATE("Are your ",C52," shares taxable Australian property?"))</f>
        <v/>
      </c>
      <c r="C17" s="16"/>
    </row>
    <row r="18" spans="1:8" ht="36.75" customHeight="1" x14ac:dyDescent="0.2">
      <c r="A18" s="5">
        <v>2</v>
      </c>
      <c r="B18" s="6" t="str">
        <f>IF(OR($A$15=2,$A$16=2),"Do you choose to obtain a roll-over?","You cannot choose to obtain a roll-over")</f>
        <v>Do you choose to obtain a roll-over?</v>
      </c>
      <c r="C18" s="16"/>
      <c r="D18" s="90" t="str">
        <f>IF(OR($A$15=2,$A$16=2),"You can test the consequences of your choice by choosing 'Yes' or 'No' alternately.","")</f>
        <v>You can test the consequences of your choice by choosing 'Yes' or 'No' alternately.</v>
      </c>
      <c r="E18" s="90"/>
      <c r="F18" s="90"/>
      <c r="G18" s="90"/>
    </row>
    <row r="19" spans="1:8" ht="37.5" customHeight="1" x14ac:dyDescent="0.2">
      <c r="A19" s="5">
        <v>1</v>
      </c>
      <c r="B19" s="6" t="str">
        <f>CONCATENATE("Were your ",C53," shares sold under the Sale Facility?")</f>
        <v>Were your Endeavour shares sold under the Sale Facility?</v>
      </c>
      <c r="C19" s="16"/>
      <c r="D19" s="95" t="str">
        <f>IF(AND($A$19=2,$C$47&gt;$C$60),CONCATENATE("You are not a Small Shareholder as you held more than ",TEXT($C$60,"#,###")," ",$C$52," shares at the Record Date. You should answer 'No' to this question unless you were an Ineligible Shareholder."),"")</f>
        <v/>
      </c>
      <c r="E19" s="96"/>
      <c r="F19" s="96"/>
      <c r="G19" s="96"/>
    </row>
    <row r="20" spans="1:8" x14ac:dyDescent="0.2">
      <c r="A20" s="8">
        <f>IF(AND(OR($A$15=2,$A$16=2),$A$18=2),2,1)</f>
        <v>2</v>
      </c>
      <c r="B20" s="92"/>
      <c r="C20" s="92"/>
    </row>
    <row r="21" spans="1:8" ht="15" customHeight="1" x14ac:dyDescent="0.25">
      <c r="A21" s="2"/>
      <c r="B21" s="106" t="str">
        <f>CONCATENATE("For each parcel of ",C52," shares you held at the Record Date, enter in the table below:")</f>
        <v>For each parcel of Woolworths shares you held at the Record Date, enter in the table below:</v>
      </c>
      <c r="C21" s="102"/>
      <c r="D21" s="102"/>
      <c r="E21" s="102"/>
      <c r="F21" s="102"/>
    </row>
    <row r="22" spans="1:8" ht="15" customHeight="1" x14ac:dyDescent="0.2">
      <c r="A22" s="2"/>
      <c r="B22" s="89" t="s">
        <v>44</v>
      </c>
      <c r="C22" s="89"/>
      <c r="D22" s="89"/>
      <c r="E22" s="89"/>
      <c r="F22" s="89"/>
      <c r="G22" s="89"/>
      <c r="H22" s="89"/>
    </row>
    <row r="23" spans="1:8" x14ac:dyDescent="0.2">
      <c r="A23" s="2"/>
      <c r="B23" s="89" t="s">
        <v>67</v>
      </c>
      <c r="C23" s="89"/>
      <c r="D23" s="89"/>
      <c r="E23" s="89"/>
      <c r="F23" s="89"/>
      <c r="G23" s="89"/>
      <c r="H23" s="89"/>
    </row>
    <row r="24" spans="1:8" ht="15" customHeight="1" thickBot="1" x14ac:dyDescent="0.25">
      <c r="A24" s="2"/>
      <c r="B24" s="33"/>
      <c r="C24" s="33"/>
      <c r="D24" s="33"/>
      <c r="E24" s="33"/>
      <c r="F24" s="33"/>
      <c r="G24" s="33"/>
      <c r="H24" s="38"/>
    </row>
    <row r="25" spans="1:8" ht="30" customHeight="1" thickBot="1" x14ac:dyDescent="0.3">
      <c r="A25" s="2"/>
      <c r="B25" s="82" t="s">
        <v>30</v>
      </c>
      <c r="C25" s="83" t="s">
        <v>12</v>
      </c>
      <c r="D25" s="83" t="s">
        <v>13</v>
      </c>
      <c r="E25" s="83" t="s">
        <v>16</v>
      </c>
      <c r="F25" s="83" t="s">
        <v>52</v>
      </c>
      <c r="G25" s="84" t="s">
        <v>51</v>
      </c>
      <c r="H25" s="39" t="s">
        <v>33</v>
      </c>
    </row>
    <row r="26" spans="1:8" ht="30" customHeight="1" thickTop="1" x14ac:dyDescent="0.25">
      <c r="A26" s="5">
        <v>1</v>
      </c>
      <c r="B26" s="31" t="s">
        <v>2</v>
      </c>
      <c r="C26" s="85"/>
      <c r="D26" s="86"/>
      <c r="E26" s="17" t="str">
        <f t="shared" ref="E26:E45" si="0">IF(OR(ISBLANK(C26),ISBLANK(D26)),"",IF(H26="",C26*D26,""))</f>
        <v/>
      </c>
      <c r="F26" s="18" t="str">
        <f t="shared" ref="F26:F45" si="1">IF(OR(ISBLANK(C26),ISBLANK(D26)),"",IF(H26="",IF(D26&lt;$C$55,$C$55-D26,0),""))</f>
        <v/>
      </c>
      <c r="G26" s="34" t="str">
        <f t="shared" ref="G26:G45" si="2">IF(OR(ISBLANK(C26),ISBLANK(D26)),"",IF(H26="",C26*F26,""))</f>
        <v/>
      </c>
      <c r="H26" s="40" t="str">
        <f t="shared" ref="H26:H45" si="3">IF(TYPE(C26)&lt;&gt;1,"No. shares must be a number",IF(C26&lt;&gt;INT(C26),"No. shares must be a whole number",IF(AND(NOT(ISBLANK(C26)),C26&lt;=0),"No. shares must be greater than zero", IF(TYPE(D26)&lt;&gt;1,"Cost base must be a number",IF(AND(NOT(ISBLANK(D26)),D26&lt;0),"Cost base cannot be negative", IF(AND(NOT(ISBLANK(C26)),ISBLANK(D26),A26&lt;&gt;2),"Enter cost base/share",IF(AND(ISBLANK(C26),NOT(ISBLANK(D26))),"Enter no. shares","")))))))</f>
        <v/>
      </c>
    </row>
    <row r="27" spans="1:8" ht="30" customHeight="1" x14ac:dyDescent="0.25">
      <c r="A27" s="5">
        <v>1</v>
      </c>
      <c r="B27" s="32" t="s">
        <v>3</v>
      </c>
      <c r="C27" s="85"/>
      <c r="D27" s="86"/>
      <c r="E27" s="17" t="str">
        <f t="shared" si="0"/>
        <v/>
      </c>
      <c r="F27" s="18" t="str">
        <f t="shared" si="1"/>
        <v/>
      </c>
      <c r="G27" s="34" t="str">
        <f t="shared" si="2"/>
        <v/>
      </c>
      <c r="H27" s="41" t="str">
        <f t="shared" si="3"/>
        <v/>
      </c>
    </row>
    <row r="28" spans="1:8" ht="30" customHeight="1" x14ac:dyDescent="0.25">
      <c r="A28" s="5">
        <v>1</v>
      </c>
      <c r="B28" s="32" t="s">
        <v>4</v>
      </c>
      <c r="C28" s="85"/>
      <c r="D28" s="86"/>
      <c r="E28" s="17" t="str">
        <f t="shared" si="0"/>
        <v/>
      </c>
      <c r="F28" s="18" t="str">
        <f t="shared" si="1"/>
        <v/>
      </c>
      <c r="G28" s="34" t="str">
        <f t="shared" si="2"/>
        <v/>
      </c>
      <c r="H28" s="41" t="str">
        <f t="shared" si="3"/>
        <v/>
      </c>
    </row>
    <row r="29" spans="1:8" ht="29.25" customHeight="1" x14ac:dyDescent="0.25">
      <c r="A29" s="5">
        <v>1</v>
      </c>
      <c r="B29" s="32" t="s">
        <v>5</v>
      </c>
      <c r="C29" s="85"/>
      <c r="D29" s="86"/>
      <c r="E29" s="17" t="str">
        <f t="shared" si="0"/>
        <v/>
      </c>
      <c r="F29" s="18" t="str">
        <f t="shared" si="1"/>
        <v/>
      </c>
      <c r="G29" s="34" t="str">
        <f t="shared" si="2"/>
        <v/>
      </c>
      <c r="H29" s="41" t="str">
        <f t="shared" si="3"/>
        <v/>
      </c>
    </row>
    <row r="30" spans="1:8" ht="30" customHeight="1" x14ac:dyDescent="0.25">
      <c r="A30" s="5">
        <v>1</v>
      </c>
      <c r="B30" s="32" t="s">
        <v>6</v>
      </c>
      <c r="C30" s="85"/>
      <c r="D30" s="86"/>
      <c r="E30" s="17" t="str">
        <f t="shared" si="0"/>
        <v/>
      </c>
      <c r="F30" s="18" t="str">
        <f t="shared" si="1"/>
        <v/>
      </c>
      <c r="G30" s="34" t="str">
        <f t="shared" si="2"/>
        <v/>
      </c>
      <c r="H30" s="41" t="str">
        <f t="shared" si="3"/>
        <v/>
      </c>
    </row>
    <row r="31" spans="1:8" ht="30" customHeight="1" x14ac:dyDescent="0.25">
      <c r="A31" s="5">
        <v>1</v>
      </c>
      <c r="B31" s="32" t="s">
        <v>7</v>
      </c>
      <c r="C31" s="85"/>
      <c r="D31" s="86"/>
      <c r="E31" s="17" t="str">
        <f t="shared" si="0"/>
        <v/>
      </c>
      <c r="F31" s="18" t="str">
        <f t="shared" si="1"/>
        <v/>
      </c>
      <c r="G31" s="34" t="str">
        <f t="shared" si="2"/>
        <v/>
      </c>
      <c r="H31" s="41" t="str">
        <f t="shared" si="3"/>
        <v/>
      </c>
    </row>
    <row r="32" spans="1:8" ht="30" customHeight="1" x14ac:dyDescent="0.25">
      <c r="A32" s="5">
        <v>1</v>
      </c>
      <c r="B32" s="32" t="s">
        <v>8</v>
      </c>
      <c r="C32" s="85"/>
      <c r="D32" s="86"/>
      <c r="E32" s="17" t="str">
        <f t="shared" si="0"/>
        <v/>
      </c>
      <c r="F32" s="18" t="str">
        <f t="shared" si="1"/>
        <v/>
      </c>
      <c r="G32" s="34" t="str">
        <f t="shared" si="2"/>
        <v/>
      </c>
      <c r="H32" s="41" t="str">
        <f t="shared" si="3"/>
        <v/>
      </c>
    </row>
    <row r="33" spans="1:8" ht="30" customHeight="1" x14ac:dyDescent="0.25">
      <c r="A33" s="5">
        <v>1</v>
      </c>
      <c r="B33" s="32" t="s">
        <v>9</v>
      </c>
      <c r="C33" s="85"/>
      <c r="D33" s="86"/>
      <c r="E33" s="17" t="str">
        <f t="shared" si="0"/>
        <v/>
      </c>
      <c r="F33" s="18" t="str">
        <f t="shared" si="1"/>
        <v/>
      </c>
      <c r="G33" s="34" t="str">
        <f t="shared" si="2"/>
        <v/>
      </c>
      <c r="H33" s="41" t="str">
        <f t="shared" si="3"/>
        <v/>
      </c>
    </row>
    <row r="34" spans="1:8" ht="30" customHeight="1" x14ac:dyDescent="0.25">
      <c r="A34" s="5">
        <v>1</v>
      </c>
      <c r="B34" s="32" t="s">
        <v>10</v>
      </c>
      <c r="C34" s="85"/>
      <c r="D34" s="86"/>
      <c r="E34" s="17" t="str">
        <f t="shared" si="0"/>
        <v/>
      </c>
      <c r="F34" s="18" t="str">
        <f t="shared" si="1"/>
        <v/>
      </c>
      <c r="G34" s="34" t="str">
        <f t="shared" si="2"/>
        <v/>
      </c>
      <c r="H34" s="41" t="str">
        <f t="shared" si="3"/>
        <v/>
      </c>
    </row>
    <row r="35" spans="1:8" ht="30" customHeight="1" x14ac:dyDescent="0.25">
      <c r="A35" s="5">
        <v>1</v>
      </c>
      <c r="B35" s="32" t="s">
        <v>11</v>
      </c>
      <c r="C35" s="85"/>
      <c r="D35" s="86"/>
      <c r="E35" s="17" t="str">
        <f t="shared" si="0"/>
        <v/>
      </c>
      <c r="F35" s="18" t="str">
        <f t="shared" si="1"/>
        <v/>
      </c>
      <c r="G35" s="34" t="str">
        <f t="shared" si="2"/>
        <v/>
      </c>
      <c r="H35" s="41" t="str">
        <f t="shared" si="3"/>
        <v/>
      </c>
    </row>
    <row r="36" spans="1:8" ht="30" customHeight="1" x14ac:dyDescent="0.25">
      <c r="A36" s="5">
        <v>1</v>
      </c>
      <c r="B36" s="31" t="s">
        <v>37</v>
      </c>
      <c r="C36" s="85"/>
      <c r="D36" s="86"/>
      <c r="E36" s="17" t="str">
        <f t="shared" si="0"/>
        <v/>
      </c>
      <c r="F36" s="18" t="str">
        <f t="shared" si="1"/>
        <v/>
      </c>
      <c r="G36" s="34" t="str">
        <f t="shared" si="2"/>
        <v/>
      </c>
      <c r="H36" s="41" t="str">
        <f t="shared" si="3"/>
        <v/>
      </c>
    </row>
    <row r="37" spans="1:8" ht="30" customHeight="1" x14ac:dyDescent="0.25">
      <c r="A37" s="5">
        <v>1</v>
      </c>
      <c r="B37" s="32" t="s">
        <v>38</v>
      </c>
      <c r="C37" s="85"/>
      <c r="D37" s="86"/>
      <c r="E37" s="17" t="str">
        <f>IF(OR(ISBLANK(C37),ISBLANK(D37)),"",IF(H37="",C37*D37,""))</f>
        <v/>
      </c>
      <c r="F37" s="18" t="str">
        <f t="shared" si="1"/>
        <v/>
      </c>
      <c r="G37" s="34" t="str">
        <f t="shared" si="2"/>
        <v/>
      </c>
      <c r="H37" s="41" t="str">
        <f t="shared" si="3"/>
        <v/>
      </c>
    </row>
    <row r="38" spans="1:8" ht="30" customHeight="1" x14ac:dyDescent="0.25">
      <c r="A38" s="5">
        <v>1</v>
      </c>
      <c r="B38" s="32" t="s">
        <v>39</v>
      </c>
      <c r="C38" s="85"/>
      <c r="D38" s="86"/>
      <c r="E38" s="17" t="str">
        <f t="shared" si="0"/>
        <v/>
      </c>
      <c r="F38" s="18" t="str">
        <f t="shared" si="1"/>
        <v/>
      </c>
      <c r="G38" s="34" t="str">
        <f t="shared" si="2"/>
        <v/>
      </c>
      <c r="H38" s="41" t="str">
        <f t="shared" si="3"/>
        <v/>
      </c>
    </row>
    <row r="39" spans="1:8" ht="30" customHeight="1" x14ac:dyDescent="0.25">
      <c r="A39" s="5">
        <v>1</v>
      </c>
      <c r="B39" s="32" t="s">
        <v>40</v>
      </c>
      <c r="C39" s="85"/>
      <c r="D39" s="86"/>
      <c r="E39" s="17" t="str">
        <f t="shared" si="0"/>
        <v/>
      </c>
      <c r="F39" s="18" t="str">
        <f t="shared" si="1"/>
        <v/>
      </c>
      <c r="G39" s="34" t="str">
        <f t="shared" si="2"/>
        <v/>
      </c>
      <c r="H39" s="41" t="str">
        <f t="shared" si="3"/>
        <v/>
      </c>
    </row>
    <row r="40" spans="1:8" s="9" customFormat="1" ht="30" customHeight="1" x14ac:dyDescent="0.25">
      <c r="A40" s="5">
        <v>1</v>
      </c>
      <c r="B40" s="32" t="s">
        <v>41</v>
      </c>
      <c r="C40" s="85"/>
      <c r="D40" s="86"/>
      <c r="E40" s="17" t="str">
        <f>IF(OR(ISBLANK(C40),ISBLANK(D40)),"",IF(H40="",C40*D40,""))</f>
        <v/>
      </c>
      <c r="F40" s="18" t="str">
        <f t="shared" si="1"/>
        <v/>
      </c>
      <c r="G40" s="34" t="str">
        <f t="shared" si="2"/>
        <v/>
      </c>
      <c r="H40" s="41" t="str">
        <f t="shared" si="3"/>
        <v/>
      </c>
    </row>
    <row r="41" spans="1:8" s="9" customFormat="1" ht="30" customHeight="1" x14ac:dyDescent="0.25">
      <c r="A41" s="5"/>
      <c r="B41" s="32" t="s">
        <v>42</v>
      </c>
      <c r="C41" s="85"/>
      <c r="D41" s="86"/>
      <c r="E41" s="17" t="str">
        <f t="shared" ref="E41:E44" si="4">IF(OR(ISBLANK(C41),ISBLANK(D41)),"",IF(H41="",C41*D41,""))</f>
        <v/>
      </c>
      <c r="F41" s="18" t="str">
        <f t="shared" ref="F41:F44" si="5">IF(OR(ISBLANK(C41),ISBLANK(D41)),"",IF(H41="",IF(D41&lt;$C$55,$C$55-D41,0),""))</f>
        <v/>
      </c>
      <c r="G41" s="34" t="str">
        <f t="shared" ref="G41:G44" si="6">IF(OR(ISBLANK(C41),ISBLANK(D41)),"",IF(H41="",C41*F41,""))</f>
        <v/>
      </c>
      <c r="H41" s="87"/>
    </row>
    <row r="42" spans="1:8" s="9" customFormat="1" ht="30" customHeight="1" x14ac:dyDescent="0.25">
      <c r="A42" s="5"/>
      <c r="B42" s="32" t="s">
        <v>68</v>
      </c>
      <c r="C42" s="85"/>
      <c r="D42" s="86"/>
      <c r="E42" s="17" t="str">
        <f t="shared" si="4"/>
        <v/>
      </c>
      <c r="F42" s="18" t="str">
        <f t="shared" si="5"/>
        <v/>
      </c>
      <c r="G42" s="34" t="str">
        <f t="shared" si="6"/>
        <v/>
      </c>
      <c r="H42" s="87"/>
    </row>
    <row r="43" spans="1:8" s="9" customFormat="1" ht="30" customHeight="1" x14ac:dyDescent="0.25">
      <c r="A43" s="5"/>
      <c r="B43" s="32" t="s">
        <v>69</v>
      </c>
      <c r="C43" s="85"/>
      <c r="D43" s="86"/>
      <c r="E43" s="17" t="str">
        <f t="shared" si="4"/>
        <v/>
      </c>
      <c r="F43" s="18" t="str">
        <f t="shared" si="5"/>
        <v/>
      </c>
      <c r="G43" s="34" t="str">
        <f t="shared" si="6"/>
        <v/>
      </c>
      <c r="H43" s="87"/>
    </row>
    <row r="44" spans="1:8" s="9" customFormat="1" ht="30" customHeight="1" x14ac:dyDescent="0.25">
      <c r="A44" s="5"/>
      <c r="B44" s="32" t="s">
        <v>70</v>
      </c>
      <c r="C44" s="85"/>
      <c r="D44" s="86"/>
      <c r="E44" s="17" t="str">
        <f t="shared" si="4"/>
        <v/>
      </c>
      <c r="F44" s="18" t="str">
        <f t="shared" si="5"/>
        <v/>
      </c>
      <c r="G44" s="34" t="str">
        <f t="shared" si="6"/>
        <v/>
      </c>
      <c r="H44" s="87"/>
    </row>
    <row r="45" spans="1:8" ht="30" customHeight="1" thickBot="1" x14ac:dyDescent="0.3">
      <c r="A45" s="5">
        <v>1</v>
      </c>
      <c r="B45" s="32" t="s">
        <v>71</v>
      </c>
      <c r="C45" s="85"/>
      <c r="D45" s="86"/>
      <c r="E45" s="35" t="str">
        <f t="shared" si="0"/>
        <v/>
      </c>
      <c r="F45" s="36" t="str">
        <f t="shared" si="1"/>
        <v/>
      </c>
      <c r="G45" s="37" t="str">
        <f t="shared" si="2"/>
        <v/>
      </c>
      <c r="H45" s="42" t="str">
        <f t="shared" si="3"/>
        <v/>
      </c>
    </row>
    <row r="46" spans="1:8" ht="30" customHeight="1" x14ac:dyDescent="0.2">
      <c r="A46" s="1" t="str">
        <f>IF(AND(D16="",D19="",H26="",H27="",H28="",H29="",H30="",H31="",H32="",H33="",H34="",H35="",H36="",H37="",H38="",H39="",H40="",H45=""),"no errors","errors")</f>
        <v>no errors</v>
      </c>
      <c r="F46" s="97" t="s">
        <v>53</v>
      </c>
      <c r="G46" s="97"/>
      <c r="H46" s="97"/>
    </row>
    <row r="47" spans="1:8" ht="15" customHeight="1" x14ac:dyDescent="0.25">
      <c r="B47" s="10" t="s">
        <v>14</v>
      </c>
      <c r="C47" s="20">
        <f>SUM(C26:C45)</f>
        <v>0</v>
      </c>
      <c r="F47" s="103" t="s">
        <v>25</v>
      </c>
      <c r="G47" s="104"/>
      <c r="H47" s="19">
        <f>SUM(E26:E45)</f>
        <v>0</v>
      </c>
    </row>
    <row r="48" spans="1:8" ht="15" thickBot="1" x14ac:dyDescent="0.25"/>
    <row r="49" spans="1:9" ht="16.5" thickBot="1" x14ac:dyDescent="0.3">
      <c r="A49" s="9"/>
      <c r="B49" s="98" t="s">
        <v>31</v>
      </c>
      <c r="C49" s="99"/>
      <c r="I49" s="9"/>
    </row>
    <row r="50" spans="1:9" ht="30.75" thickTop="1" x14ac:dyDescent="0.25">
      <c r="A50" s="9"/>
      <c r="B50" s="11" t="s">
        <v>48</v>
      </c>
      <c r="C50" s="21" t="s">
        <v>57</v>
      </c>
      <c r="I50" s="9"/>
    </row>
    <row r="51" spans="1:9" ht="29.25" x14ac:dyDescent="0.25">
      <c r="A51" s="9"/>
      <c r="B51" s="11" t="s">
        <v>54</v>
      </c>
      <c r="C51" s="22" t="s">
        <v>58</v>
      </c>
      <c r="I51" s="9"/>
    </row>
    <row r="52" spans="1:9" ht="30" x14ac:dyDescent="0.25">
      <c r="A52" s="9"/>
      <c r="B52" s="11" t="s">
        <v>46</v>
      </c>
      <c r="C52" s="23" t="s">
        <v>56</v>
      </c>
      <c r="I52" s="9"/>
    </row>
    <row r="53" spans="1:9" ht="15" x14ac:dyDescent="0.25">
      <c r="A53" s="9"/>
      <c r="B53" s="11" t="s">
        <v>47</v>
      </c>
      <c r="C53" s="23" t="s">
        <v>55</v>
      </c>
      <c r="I53" s="9"/>
    </row>
    <row r="54" spans="1:9" ht="30" x14ac:dyDescent="0.25">
      <c r="B54" s="11" t="str">
        <f>CONCATENATE(C53," shares you received per ",C52," share you held")</f>
        <v>Endeavour shares you received per Woolworths share you held</v>
      </c>
      <c r="C54" s="23">
        <v>1</v>
      </c>
    </row>
    <row r="55" spans="1:9" ht="30" x14ac:dyDescent="0.25">
      <c r="B55" s="12" t="str">
        <f>CONCATENATE("Capital return per ",C52," share")</f>
        <v>Capital return per Woolworths share</v>
      </c>
      <c r="C55" s="24">
        <v>0.71</v>
      </c>
      <c r="D55" s="9"/>
      <c r="E55" s="9"/>
      <c r="F55" s="9"/>
      <c r="G55" s="9"/>
      <c r="H55" s="9"/>
    </row>
    <row r="56" spans="1:9" ht="45" customHeight="1" x14ac:dyDescent="0.25">
      <c r="B56" s="12" t="str">
        <f>CONCATENATE("Proportion of total pre-demerger cost base of ",C52," shares allocated to ",C52," shares")</f>
        <v>Proportion of total pre-demerger cost base of Woolworths shares allocated to Woolworths shares</v>
      </c>
      <c r="C56" s="25">
        <f>ROUND(C59/(C59+C58*C54),4)</f>
        <v>0.85809999999999997</v>
      </c>
    </row>
    <row r="57" spans="1:9" ht="45" customHeight="1" x14ac:dyDescent="0.25">
      <c r="B57" s="12" t="str">
        <f>CONCATENATE("Proportion of total pre-demerger cost base of ",C52," shares allocated to ",C53," shares")</f>
        <v>Proportion of total pre-demerger cost base of Woolworths shares allocated to Endeavour shares</v>
      </c>
      <c r="C57" s="25">
        <f>1-C56</f>
        <v>0.14190000000000003</v>
      </c>
    </row>
    <row r="58" spans="1:9" ht="30" x14ac:dyDescent="0.25">
      <c r="B58" s="12" t="str">
        <f>CONCATENATE("Market value of ",C53," share at time of demerger")</f>
        <v>Market value of Endeavour share at time of demerger</v>
      </c>
      <c r="C58" s="26">
        <v>6.2067699999999997</v>
      </c>
    </row>
    <row r="59" spans="1:9" ht="30" x14ac:dyDescent="0.25">
      <c r="B59" s="12" t="str">
        <f>CONCATENATE("Market value of ",C52," share at time of demerger")</f>
        <v>Market value of Woolworths share at time of demerger</v>
      </c>
      <c r="C59" s="26">
        <v>37.547510000000003</v>
      </c>
    </row>
    <row r="60" spans="1:9" ht="30" x14ac:dyDescent="0.25">
      <c r="B60" s="12" t="str">
        <f>CONCATENATE("Small Shareholder threshold (no. ",C52," shares held)")</f>
        <v>Small Shareholder threshold (no. Woolworths shares held)</v>
      </c>
      <c r="C60" s="27">
        <v>800</v>
      </c>
    </row>
    <row r="61" spans="1:9" ht="45" customHeight="1" x14ac:dyDescent="0.25">
      <c r="B61" s="12" t="str">
        <f>CONCATENATE("Average proceeds per share from sale of ",$C$53," shares under Sale Facility")</f>
        <v>Average proceeds per share from sale of Endeavour shares under Sale Facility</v>
      </c>
      <c r="C61" s="26">
        <v>6.2050000000000001</v>
      </c>
    </row>
    <row r="62" spans="1:9" ht="15" customHeight="1" x14ac:dyDescent="0.25">
      <c r="B62" s="12" t="s">
        <v>50</v>
      </c>
      <c r="C62" s="28" t="s">
        <v>59</v>
      </c>
    </row>
    <row r="63" spans="1:9" ht="15" customHeight="1" x14ac:dyDescent="0.25">
      <c r="B63" s="12" t="s">
        <v>49</v>
      </c>
      <c r="C63" s="29">
        <v>44372</v>
      </c>
    </row>
    <row r="64" spans="1:9" ht="15" customHeight="1" thickBot="1" x14ac:dyDescent="0.3">
      <c r="B64" s="13" t="s">
        <v>45</v>
      </c>
      <c r="C64" s="30">
        <v>44378</v>
      </c>
    </row>
    <row r="65" spans="2:3" x14ac:dyDescent="0.2">
      <c r="B65" s="14" t="s">
        <v>32</v>
      </c>
      <c r="C65" s="15"/>
    </row>
  </sheetData>
  <sheetProtection algorithmName="SHA-256" hashValue="xByDGRvljJ36DunG06O4Zg69ykWZDpokj7kbDaHjl1M=" saltValue="YseiXOZeNT7pQhnEL0tMcw==" spinCount="100000" sheet="1" objects="1" scenarios="1" selectLockedCells="1"/>
  <protectedRanges>
    <protectedRange sqref="C26:D45" name="editRage1"/>
  </protectedRanges>
  <mergeCells count="23">
    <mergeCell ref="F46:H46"/>
    <mergeCell ref="B49:C49"/>
    <mergeCell ref="B23:H23"/>
    <mergeCell ref="B1:H1"/>
    <mergeCell ref="B8:H8"/>
    <mergeCell ref="F47:G47"/>
    <mergeCell ref="B3:H3"/>
    <mergeCell ref="B4:H4"/>
    <mergeCell ref="B5:H5"/>
    <mergeCell ref="B6:H6"/>
    <mergeCell ref="B7:H7"/>
    <mergeCell ref="B2:C2"/>
    <mergeCell ref="B9:H9"/>
    <mergeCell ref="B10:H10"/>
    <mergeCell ref="B21:F21"/>
    <mergeCell ref="B11:H11"/>
    <mergeCell ref="B12:H12"/>
    <mergeCell ref="B22:H22"/>
    <mergeCell ref="D18:G18"/>
    <mergeCell ref="B13:C13"/>
    <mergeCell ref="B20:C20"/>
    <mergeCell ref="D16:G16"/>
    <mergeCell ref="D19:G19"/>
  </mergeCells>
  <phoneticPr fontId="15" type="noConversion"/>
  <conditionalFormatting sqref="D18:G18">
    <cfRule type="expression" dxfId="10" priority="17">
      <formula>OR($A$15=2,$A$16=2)</formula>
    </cfRule>
  </conditionalFormatting>
  <conditionalFormatting sqref="D26:D45">
    <cfRule type="expression" dxfId="9" priority="14">
      <formula>OR(TYPE(D26)&lt;&gt;1,D26&lt;0,AND(ISBLANK(D26),NOT(ISBLANK(C26)),A26&lt;&gt;2))</formula>
    </cfRule>
  </conditionalFormatting>
  <conditionalFormatting sqref="C26:C45">
    <cfRule type="expression" dxfId="8" priority="3">
      <formula>TYPE(C26)&lt;&gt;1</formula>
    </cfRule>
    <cfRule type="expression" dxfId="7" priority="8">
      <formula>OR(C26&lt;&gt;INT(C26),AND(NOT(ISBLANK(C26)),C26&lt;=0),AND(ISBLANK(C26),NOT(ISBLANK(D26))))</formula>
    </cfRule>
  </conditionalFormatting>
  <conditionalFormatting sqref="B18">
    <cfRule type="expression" dxfId="6" priority="6">
      <formula>NOT(OR($A$15=2,$A$16=2))</formula>
    </cfRule>
  </conditionalFormatting>
  <conditionalFormatting sqref="D16:G16">
    <cfRule type="expression" dxfId="5" priority="1">
      <formula>AND($A$15=1,$A$16=2,$A$19=2)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2</xdr:col>
                    <xdr:colOff>9525</xdr:colOff>
                    <xdr:row>14</xdr:row>
                    <xdr:rowOff>9525</xdr:rowOff>
                  </from>
                  <to>
                    <xdr:col>2</xdr:col>
                    <xdr:colOff>581025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List Box 3">
              <controlPr defaultSize="0" autoLine="0" autoPict="0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581025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List Box 4">
              <controlPr defaultSize="0" autoLine="0" autoPict="0">
                <anchor moveWithCells="1">
                  <from>
                    <xdr:col>2</xdr:col>
                    <xdr:colOff>9525</xdr:colOff>
                    <xdr:row>17</xdr:row>
                    <xdr:rowOff>0</xdr:rowOff>
                  </from>
                  <to>
                    <xdr:col>2</xdr:col>
                    <xdr:colOff>581025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List Box 16">
              <controlPr defaultSize="0" autoLine="0" autoPict="0">
                <anchor moveWithCells="1">
                  <from>
                    <xdr:col>2</xdr:col>
                    <xdr:colOff>9525</xdr:colOff>
                    <xdr:row>18</xdr:row>
                    <xdr:rowOff>0</xdr:rowOff>
                  </from>
                  <to>
                    <xdr:col>2</xdr:col>
                    <xdr:colOff>581025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List Box 27">
              <controlPr defaultSize="0" autoLine="0" autoPict="0">
                <anchor moveWithCells="1">
                  <from>
                    <xdr:col>2</xdr:col>
                    <xdr:colOff>9525</xdr:colOff>
                    <xdr:row>16</xdr:row>
                    <xdr:rowOff>0</xdr:rowOff>
                  </from>
                  <to>
                    <xdr:col>2</xdr:col>
                    <xdr:colOff>581025</xdr:colOff>
                    <xdr:row>16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K40"/>
  <sheetViews>
    <sheetView topLeftCell="A7" zoomScaleNormal="100" workbookViewId="0">
      <selection activeCell="I13" sqref="I13"/>
    </sheetView>
  </sheetViews>
  <sheetFormatPr defaultColWidth="0" defaultRowHeight="14.25" zeroHeight="1" x14ac:dyDescent="0.2"/>
  <cols>
    <col min="1" max="1" width="4.7109375" style="1" customWidth="1"/>
    <col min="2" max="2" width="11.5703125" style="1" customWidth="1"/>
    <col min="3" max="3" width="11.28515625" style="1" customWidth="1"/>
    <col min="4" max="4" width="9.140625" style="1" customWidth="1"/>
    <col min="5" max="5" width="9.85546875" style="1" bestFit="1" customWidth="1"/>
    <col min="6" max="6" width="9.140625" style="1" customWidth="1"/>
    <col min="7" max="7" width="14.42578125" style="1" customWidth="1"/>
    <col min="8" max="8" width="20.42578125" style="1" customWidth="1"/>
    <col min="9" max="9" width="23.28515625" style="1" customWidth="1"/>
    <col min="10" max="10" width="4.42578125" style="1" customWidth="1"/>
    <col min="11" max="11" width="0" style="1" hidden="1" customWidth="1"/>
    <col min="12" max="16384" width="9.140625" style="1" hidden="1"/>
  </cols>
  <sheetData>
    <row r="1" spans="1:9" ht="30" x14ac:dyDescent="0.4">
      <c r="A1" s="100" t="s">
        <v>17</v>
      </c>
      <c r="B1" s="107"/>
      <c r="C1" s="107"/>
      <c r="D1" s="107"/>
      <c r="E1" s="107"/>
      <c r="F1" s="107"/>
      <c r="G1" s="107"/>
      <c r="H1" s="107"/>
      <c r="I1" s="108"/>
    </row>
    <row r="2" spans="1:9" ht="15" customHeight="1" x14ac:dyDescent="0.25">
      <c r="A2" s="112" t="str">
        <f>IF(Data!$A$46="errors","You have one or more input errors in the 'Data' sheet you need to correct.","")</f>
        <v/>
      </c>
      <c r="B2" s="112"/>
      <c r="C2" s="112"/>
      <c r="D2" s="112"/>
      <c r="E2" s="112"/>
      <c r="F2" s="112"/>
      <c r="G2" s="112"/>
      <c r="H2" s="112"/>
    </row>
    <row r="3" spans="1:9" ht="15" x14ac:dyDescent="0.25">
      <c r="A3" s="43" t="str">
        <f>CONCATENATE("The ",Data!$C$53," shares distributed to you under the demerger have the following status:")</f>
        <v>The Endeavour shares distributed to you under the demerger have the following status:</v>
      </c>
      <c r="B3" s="44"/>
      <c r="C3" s="44"/>
      <c r="D3" s="44"/>
      <c r="E3" s="44"/>
      <c r="F3" s="44"/>
      <c r="G3" s="44"/>
      <c r="H3" s="44"/>
    </row>
    <row r="4" spans="1:9" ht="15.75" thickBot="1" x14ac:dyDescent="0.3">
      <c r="I4" s="45"/>
    </row>
    <row r="5" spans="1:9" ht="22.5" customHeight="1" thickBot="1" x14ac:dyDescent="0.3">
      <c r="B5" s="77" t="s">
        <v>28</v>
      </c>
      <c r="C5" s="78" t="s">
        <v>18</v>
      </c>
    </row>
    <row r="6" spans="1:9" ht="16.5" thickTop="1" thickBot="1" x14ac:dyDescent="0.3">
      <c r="B6" s="46" t="s">
        <v>15</v>
      </c>
      <c r="C6" s="70">
        <f>IF(Data!$A$20=1,Data!$C$47*Data!$C$54,Data!$C$47*Data!$C$54)</f>
        <v>0</v>
      </c>
    </row>
    <row r="7" spans="1:9" ht="15" x14ac:dyDescent="0.25">
      <c r="B7" s="47"/>
      <c r="C7" s="48"/>
    </row>
    <row r="8" spans="1:9" ht="15" x14ac:dyDescent="0.25">
      <c r="A8" s="49"/>
      <c r="B8" s="50"/>
      <c r="C8" s="50"/>
      <c r="D8" s="50"/>
      <c r="E8" s="50"/>
      <c r="F8" s="50"/>
      <c r="G8" s="50"/>
      <c r="H8" s="51"/>
      <c r="I8" s="52"/>
    </row>
    <row r="9" spans="1:9" ht="15.75" thickBot="1" x14ac:dyDescent="0.3">
      <c r="A9" s="53" t="s">
        <v>60</v>
      </c>
      <c r="B9" s="54"/>
      <c r="C9" s="54"/>
      <c r="D9" s="54"/>
      <c r="E9" s="54"/>
      <c r="F9" s="54"/>
      <c r="G9" s="54"/>
      <c r="H9" s="54"/>
      <c r="I9" s="55"/>
    </row>
    <row r="10" spans="1:9" ht="30.75" customHeight="1" x14ac:dyDescent="0.25">
      <c r="A10" s="113" t="str">
        <f>CONCATENATE("The cost base adjustments you must make to your post-CGT ",Data!$C52," and ",Data!$C53," shares immediately after the demerger are set out in the following table:")</f>
        <v>The cost base adjustments you must make to your post-CGT Woolworths and Endeavour shares immediately after the demerger are set out in the following table:</v>
      </c>
      <c r="B10" s="113"/>
      <c r="C10" s="113"/>
      <c r="D10" s="113"/>
      <c r="E10" s="113"/>
      <c r="F10" s="113"/>
      <c r="G10" s="113"/>
      <c r="H10" s="113"/>
      <c r="I10" s="113"/>
    </row>
    <row r="11" spans="1:9" ht="15.75" thickBot="1" x14ac:dyDescent="0.3">
      <c r="A11" s="45"/>
    </row>
    <row r="12" spans="1:9" ht="48" customHeight="1" thickBot="1" x14ac:dyDescent="0.3">
      <c r="B12" s="109" t="s">
        <v>29</v>
      </c>
      <c r="C12" s="110"/>
      <c r="D12" s="110"/>
      <c r="E12" s="110"/>
      <c r="F12" s="110"/>
      <c r="G12" s="111"/>
      <c r="H12" s="79" t="s">
        <v>18</v>
      </c>
      <c r="I12" s="80" t="s">
        <v>19</v>
      </c>
    </row>
    <row r="13" spans="1:9" ht="15.75" thickTop="1" x14ac:dyDescent="0.25">
      <c r="B13" s="121" t="str">
        <f>CONCATENATE("Post-CGT ",Data!$C$52," shares")</f>
        <v>Post-CGT Woolworths shares</v>
      </c>
      <c r="C13" s="122"/>
      <c r="D13" s="122"/>
      <c r="E13" s="122"/>
      <c r="F13" s="122"/>
      <c r="G13" s="122"/>
      <c r="H13" s="71">
        <f>Data!$C$47</f>
        <v>0</v>
      </c>
      <c r="I13" s="72">
        <f>IF(H13&lt;&gt;0,Data!$H$47*Data!$C$56/H13,0)</f>
        <v>0</v>
      </c>
    </row>
    <row r="14" spans="1:9" ht="15.75" thickBot="1" x14ac:dyDescent="0.3">
      <c r="B14" s="123" t="str">
        <f>CONCATENATE("Post-CGT ",Data!$C$53," shares")</f>
        <v>Post-CGT Endeavour shares</v>
      </c>
      <c r="C14" s="124"/>
      <c r="D14" s="124"/>
      <c r="E14" s="124"/>
      <c r="F14" s="124"/>
      <c r="G14" s="124"/>
      <c r="H14" s="73">
        <f>C6</f>
        <v>0</v>
      </c>
      <c r="I14" s="74">
        <f>IF(H14&lt;&gt;0,Data!$H$47*Data!$C$57/H14,0)</f>
        <v>0</v>
      </c>
    </row>
    <row r="15" spans="1:9" ht="15" x14ac:dyDescent="0.25">
      <c r="B15" s="56"/>
      <c r="C15" s="57"/>
      <c r="D15" s="57"/>
      <c r="E15" s="57"/>
      <c r="F15" s="57"/>
      <c r="G15" s="57"/>
      <c r="H15" s="58"/>
      <c r="I15" s="59"/>
    </row>
    <row r="16" spans="1:9" ht="15" x14ac:dyDescent="0.25">
      <c r="A16" s="45"/>
      <c r="B16" s="56"/>
      <c r="C16" s="57"/>
      <c r="D16" s="57"/>
      <c r="E16" s="57"/>
      <c r="F16" s="57"/>
      <c r="G16" s="57"/>
      <c r="H16" s="58"/>
      <c r="I16" s="59"/>
    </row>
    <row r="17" spans="1:9" ht="15.75" thickBot="1" x14ac:dyDescent="0.3">
      <c r="A17" s="60" t="s">
        <v>61</v>
      </c>
      <c r="B17" s="61"/>
      <c r="C17" s="61"/>
      <c r="D17" s="61"/>
      <c r="E17" s="61"/>
      <c r="F17" s="61"/>
      <c r="G17" s="61"/>
      <c r="H17" s="61"/>
      <c r="I17" s="61"/>
    </row>
    <row r="18" spans="1:9" ht="45" customHeight="1" x14ac:dyDescent="0.25">
      <c r="A18" s="113" t="str">
        <f>CONCATENATE("The date you are taken to have acquired your ",Data!$C$53," shares, for the purpose of working out whether you are entitled to a discount capital gain if a CGT event happens to them, is set out in the following table:")</f>
        <v>The date you are taken to have acquired your Endeavour shares, for the purpose of working out whether you are entitled to a discount capital gain if a CGT event happens to them, is set out in the following table:</v>
      </c>
      <c r="B18" s="113"/>
      <c r="C18" s="113"/>
      <c r="D18" s="113"/>
      <c r="E18" s="113"/>
      <c r="F18" s="113"/>
      <c r="G18" s="113"/>
      <c r="H18" s="113"/>
      <c r="I18" s="113"/>
    </row>
    <row r="19" spans="1:9" ht="15.75" thickBot="1" x14ac:dyDescent="0.3">
      <c r="A19" s="45"/>
    </row>
    <row r="20" spans="1:9" ht="15.75" thickBot="1" x14ac:dyDescent="0.3">
      <c r="B20" s="118" t="str">
        <f>CONCATENATE("Category of ",Data!$C$53," shares")</f>
        <v>Category of Endeavour shares</v>
      </c>
      <c r="C20" s="119"/>
      <c r="D20" s="119"/>
      <c r="E20" s="119"/>
      <c r="F20" s="119"/>
      <c r="G20" s="120"/>
      <c r="H20" s="81" t="s">
        <v>18</v>
      </c>
      <c r="I20" s="78" t="s">
        <v>27</v>
      </c>
    </row>
    <row r="21" spans="1:9" s="62" customFormat="1" ht="58.5" customHeight="1" thickTop="1" thickBot="1" x14ac:dyDescent="0.3">
      <c r="B21" s="116" t="str">
        <f>CONCATENATE("Post-CGT ",Data!$C$53," shares")</f>
        <v>Post-CGT Endeavour shares</v>
      </c>
      <c r="C21" s="117"/>
      <c r="D21" s="117"/>
      <c r="E21" s="117"/>
      <c r="F21" s="117"/>
      <c r="G21" s="117"/>
      <c r="H21" s="75">
        <f>H14</f>
        <v>0</v>
      </c>
      <c r="I21" s="76" t="str">
        <f>IF(H21&lt;&gt;0,CONCATENATE("When the corresponding ",Data!$C$52," share was acquired"),"")</f>
        <v/>
      </c>
    </row>
    <row r="22" spans="1:9" ht="15" customHeight="1" x14ac:dyDescent="0.25">
      <c r="A22" s="48"/>
      <c r="B22" s="56"/>
      <c r="C22" s="57"/>
      <c r="D22" s="57"/>
      <c r="E22" s="57"/>
      <c r="F22" s="57"/>
      <c r="G22" s="57"/>
      <c r="H22" s="48"/>
      <c r="I22" s="63"/>
    </row>
    <row r="23" spans="1:9" x14ac:dyDescent="0.2">
      <c r="B23" s="64"/>
      <c r="C23" s="64"/>
      <c r="D23" s="64"/>
      <c r="E23" s="64"/>
      <c r="F23" s="64"/>
      <c r="G23" s="64"/>
      <c r="H23" s="64"/>
    </row>
    <row r="24" spans="1:9" ht="15.75" thickBot="1" x14ac:dyDescent="0.3">
      <c r="A24" s="60" t="s">
        <v>62</v>
      </c>
      <c r="B24" s="65"/>
      <c r="C24" s="65"/>
      <c r="D24" s="65"/>
      <c r="E24" s="65"/>
      <c r="F24" s="65"/>
      <c r="G24" s="65"/>
      <c r="H24" s="65"/>
      <c r="I24" s="61"/>
    </row>
    <row r="25" spans="1:9" ht="15" x14ac:dyDescent="0.25">
      <c r="A25" s="45" t="s">
        <v>63</v>
      </c>
      <c r="B25" s="64"/>
      <c r="C25" s="64"/>
      <c r="D25" s="64"/>
      <c r="E25" s="64"/>
      <c r="F25" s="64"/>
      <c r="G25" s="64"/>
      <c r="H25" s="64"/>
    </row>
    <row r="26" spans="1:9" ht="15" x14ac:dyDescent="0.25">
      <c r="A26" s="45"/>
      <c r="B26" s="64"/>
      <c r="C26" s="64"/>
      <c r="D26" s="64"/>
      <c r="E26" s="64"/>
      <c r="F26" s="64"/>
      <c r="G26" s="64"/>
      <c r="H26" s="64"/>
    </row>
    <row r="27" spans="1:9" ht="15" x14ac:dyDescent="0.25">
      <c r="A27" s="66" t="s">
        <v>36</v>
      </c>
      <c r="B27" s="66"/>
      <c r="C27" s="66"/>
      <c r="D27" s="66"/>
      <c r="E27" s="66"/>
      <c r="F27" s="66"/>
      <c r="G27" s="66"/>
      <c r="H27" s="67"/>
      <c r="I27" s="19">
        <f>Data!$C$55*C6</f>
        <v>0</v>
      </c>
    </row>
    <row r="28" spans="1:9" x14ac:dyDescent="0.2">
      <c r="B28" s="68"/>
    </row>
    <row r="29" spans="1:9" ht="30" customHeight="1" x14ac:dyDescent="0.25">
      <c r="A29" s="114" t="s">
        <v>43</v>
      </c>
      <c r="B29" s="114"/>
      <c r="C29" s="114"/>
      <c r="D29" s="114"/>
      <c r="E29" s="114"/>
      <c r="F29" s="114"/>
      <c r="G29" s="114"/>
      <c r="H29" s="115"/>
      <c r="I29" s="19">
        <f>IF(OR(Data!$A$20=2,AND(Data!$A$15=1,Data!$A$17=1)),0,SUMIF(Data!A26:A45,1,Data!G26:G45))</f>
        <v>0</v>
      </c>
    </row>
    <row r="30" spans="1:9" ht="15" x14ac:dyDescent="0.25">
      <c r="A30" s="45"/>
      <c r="B30" s="64"/>
      <c r="C30" s="64"/>
      <c r="D30" s="64"/>
      <c r="E30" s="64"/>
      <c r="F30" s="64"/>
      <c r="G30" s="64"/>
      <c r="H30" s="64"/>
    </row>
    <row r="31" spans="1:9" ht="15" x14ac:dyDescent="0.25">
      <c r="A31" s="66" t="str">
        <f>IF(Data!$A$19=2,CONCATENATE("The consequences of sale of your ",Data!$C$53," shares under the Sale Facility are:"),"")</f>
        <v/>
      </c>
      <c r="B31" s="64"/>
      <c r="C31" s="64"/>
      <c r="D31" s="64"/>
      <c r="E31" s="64"/>
      <c r="F31" s="64"/>
      <c r="G31" s="64"/>
      <c r="H31" s="64"/>
    </row>
    <row r="32" spans="1:9" x14ac:dyDescent="0.2">
      <c r="B32" s="64" t="str">
        <f>IF(Data!$A$19=2,CONCATENATE("You have a capital ",IF(I32&lt;0,"loss ","gain "),"on your ",Data!$C$53," shares of:"),"")</f>
        <v/>
      </c>
      <c r="C32" s="64"/>
      <c r="D32" s="64"/>
      <c r="E32" s="64"/>
      <c r="F32" s="64"/>
      <c r="G32" s="64"/>
      <c r="H32" s="64"/>
      <c r="I32" s="69" t="str">
        <f>IF(Data!$A$19=2,IF(AND(Data!$A$15=1,Data!$A$16=1),0,'Tax consequences'!$H$14*(Data!$C$61-'Tax consequences'!$I$14)),"")</f>
        <v/>
      </c>
    </row>
    <row r="33" spans="1:9" ht="15" x14ac:dyDescent="0.25">
      <c r="A33" s="47" t="str">
        <f>IF(Data!A22=2,"You are entitled to the following deduction:","")</f>
        <v/>
      </c>
      <c r="B33" s="48"/>
      <c r="C33" s="48"/>
      <c r="D33" s="48"/>
      <c r="E33" s="48"/>
      <c r="F33" s="48"/>
      <c r="G33" s="48"/>
      <c r="H33" s="48"/>
      <c r="I33" s="48"/>
    </row>
    <row r="34" spans="1:9" x14ac:dyDescent="0.2"/>
    <row r="35" spans="1:9" ht="15.75" thickBot="1" x14ac:dyDescent="0.3">
      <c r="A35" s="60" t="s">
        <v>64</v>
      </c>
      <c r="B35" s="60"/>
      <c r="C35" s="60"/>
      <c r="D35" s="60"/>
      <c r="E35" s="60"/>
      <c r="F35" s="60"/>
      <c r="G35" s="60"/>
      <c r="H35" s="60"/>
      <c r="I35" s="60"/>
    </row>
    <row r="36" spans="1:9" x14ac:dyDescent="0.2"/>
    <row r="37" spans="1:9" ht="15" customHeight="1" x14ac:dyDescent="0.25">
      <c r="A37" s="66" t="str">
        <f>CONCATENATE("The dividend component of the distribution to you of the ",Data!$C$53," shares is:")</f>
        <v>The dividend component of the distribution to you of the Endeavour shares is:</v>
      </c>
      <c r="B37" s="64"/>
      <c r="C37" s="64"/>
      <c r="D37" s="64"/>
      <c r="E37" s="64"/>
      <c r="F37" s="64"/>
      <c r="G37" s="64"/>
      <c r="H37" s="64"/>
      <c r="I37" s="19">
        <f>((Data!$C$58-Data!$C$55)/Data!$C$54)*C6</f>
        <v>0</v>
      </c>
    </row>
    <row r="38" spans="1:9" ht="15" customHeight="1" x14ac:dyDescent="0.2">
      <c r="B38" s="64" t="s">
        <v>26</v>
      </c>
      <c r="C38" s="64"/>
      <c r="D38" s="64"/>
      <c r="E38" s="64"/>
      <c r="F38" s="64"/>
      <c r="G38" s="64"/>
      <c r="H38" s="64"/>
    </row>
    <row r="39" spans="1:9" x14ac:dyDescent="0.2">
      <c r="B39" s="102" t="str">
        <f>IF(Data!$A$15=1,"None of this amount is subject to dividend withholding tax.","")</f>
        <v/>
      </c>
      <c r="C39" s="102"/>
      <c r="D39" s="102"/>
      <c r="E39" s="102"/>
      <c r="F39" s="102"/>
      <c r="G39" s="102"/>
      <c r="H39" s="102"/>
    </row>
    <row r="40" spans="1:9" hidden="1" x14ac:dyDescent="0.2">
      <c r="B40" s="64"/>
      <c r="C40" s="64"/>
      <c r="D40" s="64"/>
      <c r="E40" s="64"/>
      <c r="F40" s="64"/>
      <c r="G40" s="64"/>
      <c r="H40" s="64"/>
    </row>
  </sheetData>
  <sheetProtection algorithmName="SHA-256" hashValue="sUftTaavX5iXmtQuJRMDkfgI0e+hnUQD6A6vLJ+K6Wc=" saltValue="AjQInVadlGnIRngV1Tf3Cw==" spinCount="100000" sheet="1" objects="1" scenarios="1" selectLockedCells="1"/>
  <mergeCells count="11">
    <mergeCell ref="A29:H29"/>
    <mergeCell ref="B39:H39"/>
    <mergeCell ref="B21:G21"/>
    <mergeCell ref="B20:G20"/>
    <mergeCell ref="B13:G13"/>
    <mergeCell ref="B14:G14"/>
    <mergeCell ref="A1:I1"/>
    <mergeCell ref="B12:G12"/>
    <mergeCell ref="A2:H2"/>
    <mergeCell ref="A18:I18"/>
    <mergeCell ref="A10:I10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6D4410B-2C95-42E7-B5B0-2366BFAE91C5}">
            <xm:f>Data!$A$15=1</xm:f>
            <x14:dxf>
              <fill>
                <patternFill patternType="none">
                  <bgColor auto="1"/>
                </patternFill>
              </fill>
            </x14:dxf>
          </x14:cfRule>
          <xm:sqref>B23:H28 B39:H40 B30:H30</xm:sqref>
        </x14:conditionalFormatting>
        <x14:conditionalFormatting xmlns:xm="http://schemas.microsoft.com/office/excel/2006/main">
          <x14:cfRule type="expression" priority="10" id="{2CFBCA92-C8BC-4D50-ABA1-E014AB62C584}">
            <xm:f>Data!$A$19=2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A31:H31</xm:sqref>
        </x14:conditionalFormatting>
        <x14:conditionalFormatting xmlns:xm="http://schemas.microsoft.com/office/excel/2006/main">
          <x14:cfRule type="expression" priority="2" id="{25FCE680-4146-4068-995E-5D5CDE904431}">
            <xm:f>Data!$A$46="errors"</xm:f>
            <x14:dxf>
              <fill>
                <patternFill>
                  <bgColor rgb="FFFF0000"/>
                </patternFill>
              </fill>
            </x14:dxf>
          </x14:cfRule>
          <xm:sqref>A2:H2</xm:sqref>
        </x14:conditionalFormatting>
        <x14:conditionalFormatting xmlns:xm="http://schemas.microsoft.com/office/excel/2006/main">
          <x14:cfRule type="expression" priority="1" id="{28E035CB-B6E5-443F-A350-ADC9D2308E45}">
            <xm:f>Data!$A$19=2</xm:f>
            <x14:dxf>
              <fill>
                <patternFill>
                  <bgColor theme="2" tint="-9.9948118533890809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I32</xm:sqref>
        </x14:conditionalFormatting>
        <x14:conditionalFormatting xmlns:xm="http://schemas.microsoft.com/office/excel/2006/main">
          <x14:cfRule type="expression" priority="18" id="{8E63E374-1107-49A9-8CFB-75190DA44711}">
            <xm:f>AND(Data!$A$19=2,Data!$A$20&lt;&gt;2)</xm:f>
            <x14:dxf>
              <fill>
                <patternFill patternType="none">
                  <bgColor auto="1"/>
                </patternFill>
              </fill>
            </x14:dxf>
          </x14:cfRule>
          <xm:sqref>B32:H32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Tax consequences</vt:lpstr>
      <vt:lpstr>Sheet1</vt:lpstr>
      <vt:lpstr>editRange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2021-08-18T08:09:34Z</dcterms:created>
  <dcterms:modified xsi:type="dcterms:W3CDTF">2021-09-21T12:53:55Z</dcterms:modified>
</cp:coreProperties>
</file>